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Меню ліцей " sheetId="1" r:id="rId1"/>
    <sheet name="Аналіз норм" sheetId="2" r:id="rId2"/>
  </sheets>
  <definedNames>
    <definedName name="_xlnm.Print_Area" localSheetId="0">'Меню ліцей '!$A$1:$U$238</definedName>
  </definedNames>
  <calcPr fullCalcOnLoad="1"/>
</workbook>
</file>

<file path=xl/sharedStrings.xml><?xml version="1.0" encoding="utf-8"?>
<sst xmlns="http://schemas.openxmlformats.org/spreadsheetml/2006/main" count="757" uniqueCount="317">
  <si>
    <t xml:space="preserve"> ПОГОДЖЕНО </t>
  </si>
  <si>
    <t>ЗАТВЕРДЖЕНО</t>
  </si>
  <si>
    <t xml:space="preserve">                       ПРИМІРНЕ ЧОТИРИТИЖНЕВЕ МЕНЮ </t>
  </si>
  <si>
    <r>
      <rPr>
        <b/>
        <sz val="10"/>
        <rFont val="Times New Roman"/>
        <family val="1"/>
      </rPr>
      <t>Діти 6-11 р.</t>
    </r>
  </si>
  <si>
    <r>
      <rPr>
        <b/>
        <sz val="10"/>
        <rFont val="Times New Roman"/>
        <family val="1"/>
      </rPr>
      <t>Діти 11-14 р.</t>
    </r>
  </si>
  <si>
    <r>
      <rPr>
        <b/>
        <sz val="10"/>
        <rFont val="Times New Roman"/>
        <family val="1"/>
      </rPr>
      <t>Діти 14-18 р.</t>
    </r>
  </si>
  <si>
    <t>Збірник рецептур, № розкладки</t>
  </si>
  <si>
    <t xml:space="preserve">Алергени </t>
  </si>
  <si>
    <t>Найменування страв</t>
  </si>
  <si>
    <t>Вихід, г</t>
  </si>
  <si>
    <t>18-21</t>
  </si>
  <si>
    <t>17-21</t>
  </si>
  <si>
    <t>73-88</t>
  </si>
  <si>
    <t>21-25</t>
  </si>
  <si>
    <t>81-98</t>
  </si>
  <si>
    <t>23-27</t>
  </si>
  <si>
    <t>93-112</t>
  </si>
  <si>
    <t>І-й тиждень</t>
  </si>
  <si>
    <t>Енерго-цінність, ккал</t>
  </si>
  <si>
    <t>Білки, г</t>
  </si>
  <si>
    <t>Жири, г</t>
  </si>
  <si>
    <t>Вуглеводи, г</t>
  </si>
  <si>
    <t xml:space="preserve">1- день </t>
  </si>
  <si>
    <t>Понеділок</t>
  </si>
  <si>
    <t>Я</t>
  </si>
  <si>
    <t>МП</t>
  </si>
  <si>
    <t>Сир твердий</t>
  </si>
  <si>
    <t>Всього</t>
  </si>
  <si>
    <t>2-день</t>
  </si>
  <si>
    <t>Вівторок</t>
  </si>
  <si>
    <r>
      <rPr>
        <sz val="8"/>
        <rFont val="Times New Roman"/>
        <family val="1"/>
      </rPr>
      <t>Г, Я,
МП, Л</t>
    </r>
  </si>
  <si>
    <t>3-день</t>
  </si>
  <si>
    <t xml:space="preserve">Середа </t>
  </si>
  <si>
    <t>МП, Л</t>
  </si>
  <si>
    <t>4- день                                    Четвер</t>
  </si>
  <si>
    <t>Р</t>
  </si>
  <si>
    <t>5-день</t>
  </si>
  <si>
    <t xml:space="preserve">Пятниця </t>
  </si>
  <si>
    <t>ІІ -й тиждень</t>
  </si>
  <si>
    <t xml:space="preserve">6- день </t>
  </si>
  <si>
    <t>Гречана каша (розсипчаста) з чебрецем</t>
  </si>
  <si>
    <t>7-день</t>
  </si>
  <si>
    <t>8- день</t>
  </si>
  <si>
    <t>9-день                                                 Четвер</t>
  </si>
  <si>
    <t>МП,Л</t>
  </si>
  <si>
    <t>10-день</t>
  </si>
  <si>
    <t>IІІ-й тиждень</t>
  </si>
  <si>
    <t>11-день</t>
  </si>
  <si>
    <t>Л, МП</t>
  </si>
  <si>
    <t>12-день</t>
  </si>
  <si>
    <t xml:space="preserve">Макарони відварені </t>
  </si>
  <si>
    <t>13-день</t>
  </si>
  <si>
    <t>Г</t>
  </si>
  <si>
    <t>14-день                                                             Четвер</t>
  </si>
  <si>
    <t>Г, Я, Р</t>
  </si>
  <si>
    <t>Рибні нагетси</t>
  </si>
  <si>
    <t xml:space="preserve">15- день </t>
  </si>
  <si>
    <t>VI-й тиждень</t>
  </si>
  <si>
    <t>16- день                                      Понеділок</t>
  </si>
  <si>
    <t xml:space="preserve"> </t>
  </si>
  <si>
    <t>17- день                                Вівторок</t>
  </si>
  <si>
    <t xml:space="preserve">18- день                                 Середа </t>
  </si>
  <si>
    <t>19- день                                    Четвер</t>
  </si>
  <si>
    <t>Стіки рибні</t>
  </si>
  <si>
    <t xml:space="preserve">20- день                                      Пятниця </t>
  </si>
  <si>
    <t>Продукти харчування</t>
  </si>
  <si>
    <t>к-ть порц.</t>
  </si>
  <si>
    <t>норма 1д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</si>
  <si>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</si>
  <si>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</si>
  <si>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</si>
  <si>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</si>
  <si>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</si>
  <si>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</si>
  <si>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</si>
  <si>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</si>
  <si>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</si>
  <si>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</si>
  <si>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Всього
за 10д</t>
  </si>
  <si>
    <t>Нор-
ма 10</t>
  </si>
  <si>
    <t>Аналіз 10дн%</t>
  </si>
  <si>
    <t>Відхилення (+/- %)</t>
  </si>
  <si>
    <t>5</t>
  </si>
  <si>
    <t>100</t>
  </si>
  <si>
    <t>1000</t>
  </si>
  <si>
    <t>Фрукти</t>
  </si>
  <si>
    <t>Соки</t>
  </si>
  <si>
    <t>1</t>
  </si>
  <si>
    <t>200</t>
  </si>
  <si>
    <t>400</t>
  </si>
  <si>
    <t>Фрукти сушені</t>
  </si>
  <si>
    <t>2</t>
  </si>
  <si>
    <t>25</t>
  </si>
  <si>
    <t>4</t>
  </si>
  <si>
    <t>120</t>
  </si>
  <si>
    <t>960</t>
  </si>
  <si>
    <t>240</t>
  </si>
  <si>
    <t>3</t>
  </si>
  <si>
    <t>30</t>
  </si>
  <si>
    <t>180</t>
  </si>
  <si>
    <t>Птиця</t>
  </si>
  <si>
    <t>70</t>
  </si>
  <si>
    <t>280</t>
  </si>
  <si>
    <t>Риба</t>
  </si>
  <si>
    <t>60</t>
  </si>
  <si>
    <t>Яйце</t>
  </si>
  <si>
    <t>Молоко</t>
  </si>
  <si>
    <t/>
  </si>
  <si>
    <t>Сметана</t>
  </si>
  <si>
    <t>Сир кисло- молочний</t>
  </si>
  <si>
    <t>125</t>
  </si>
  <si>
    <t>15</t>
  </si>
  <si>
    <t xml:space="preserve">Йогурт </t>
  </si>
  <si>
    <t>Масло вершкове</t>
  </si>
  <si>
    <t>Олія</t>
  </si>
  <si>
    <t>5,5</t>
  </si>
  <si>
    <t>55</t>
  </si>
  <si>
    <t>Сіль йодована</t>
  </si>
  <si>
    <t>10</t>
  </si>
  <si>
    <t>Цукор</t>
  </si>
  <si>
    <t>7,5</t>
  </si>
  <si>
    <t>75</t>
  </si>
  <si>
    <t>Какао</t>
  </si>
  <si>
    <t>6</t>
  </si>
  <si>
    <t>12</t>
  </si>
  <si>
    <t>Чай</t>
  </si>
  <si>
    <t>0,5</t>
  </si>
  <si>
    <t>для харчування учнів ОЗО "Морозівський ліцей ім.Д.Поповича"</t>
  </si>
  <si>
    <t>Батон</t>
  </si>
  <si>
    <t xml:space="preserve">Директор </t>
  </si>
  <si>
    <t>ОЗО "Морозівський ліцей ім.Д.Поповича"</t>
  </si>
  <si>
    <t>Олександра ВАКАРЧУК_________________</t>
  </si>
  <si>
    <t xml:space="preserve">Начальник  </t>
  </si>
  <si>
    <t>управління освіти молоді та спорту</t>
  </si>
  <si>
    <t xml:space="preserve">Баришівської селищної ради </t>
  </si>
  <si>
    <t xml:space="preserve"> Сергій ЩЕРБАК____________</t>
  </si>
  <si>
    <t>Держпродспоживслужби в Київській області</t>
  </si>
  <si>
    <t xml:space="preserve">Батон </t>
  </si>
  <si>
    <t>Суп гороховий</t>
  </si>
  <si>
    <t xml:space="preserve">Заступник начальника  управління-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</si>
  <si>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начальник відділу державного нагляду     </t>
  </si>
  <si>
    <t>За дотриманням санітарного законодавства</t>
  </si>
  <si>
    <t>Броварського  районного управління</t>
  </si>
  <si>
    <t xml:space="preserve">   Вікторія ЧИХМАН _________</t>
  </si>
  <si>
    <t>Курячий шніцель</t>
  </si>
  <si>
    <t xml:space="preserve">Суп овочевий </t>
  </si>
  <si>
    <t>Суп  білий з галушками</t>
  </si>
  <si>
    <r>
      <rPr>
        <sz val="8"/>
        <rFont val="Times New Roman"/>
        <family val="1"/>
      </rPr>
      <t>Узвар</t>
    </r>
  </si>
  <si>
    <t>Суп з крупою перловою і томатом</t>
  </si>
  <si>
    <t>Плов з курячим м'ясом</t>
  </si>
  <si>
    <r>
      <rPr>
        <sz val="8"/>
        <rFont val="Times New Roman"/>
        <family val="1"/>
      </rPr>
      <t>0,2</t>
    </r>
  </si>
  <si>
    <t>15,6</t>
  </si>
  <si>
    <t>ГЦ</t>
  </si>
  <si>
    <t>Салат з капусти, моркви та зеленого горошку</t>
  </si>
  <si>
    <t>1,0</t>
  </si>
  <si>
    <t>1,8</t>
  </si>
  <si>
    <t>МП, Л, Г</t>
  </si>
  <si>
    <r>
      <rPr>
        <sz val="8"/>
        <rFont val="Times New Roman"/>
        <family val="1"/>
      </rPr>
      <t>МП, Л</t>
    </r>
  </si>
  <si>
    <t>Суп квасолевий</t>
  </si>
  <si>
    <r>
      <rPr>
        <sz val="8"/>
        <rFont val="Times New Roman"/>
        <family val="1"/>
      </rPr>
      <t>МП, Л,
Г, Я,</t>
    </r>
  </si>
  <si>
    <t>Какао з молоком</t>
  </si>
  <si>
    <r>
      <rPr>
        <sz val="8"/>
        <rFont val="Times New Roman"/>
        <family val="1"/>
      </rPr>
      <t>Г</t>
    </r>
  </si>
  <si>
    <r>
      <rPr>
        <sz val="8"/>
        <rFont val="Times New Roman"/>
        <family val="1"/>
      </rPr>
      <t>1,2</t>
    </r>
  </si>
  <si>
    <r>
      <rPr>
        <sz val="8"/>
        <rFont val="Times New Roman"/>
        <family val="1"/>
      </rPr>
      <t>15,0</t>
    </r>
  </si>
  <si>
    <r>
      <rPr>
        <sz val="8"/>
        <rFont val="Times New Roman"/>
        <family val="1"/>
      </rPr>
      <t>2,0</t>
    </r>
  </si>
  <si>
    <r>
      <rPr>
        <sz val="8"/>
        <rFont val="Times New Roman"/>
        <family val="1"/>
      </rPr>
      <t>0,4</t>
    </r>
  </si>
  <si>
    <r>
      <rPr>
        <sz val="8"/>
        <rFont val="Times New Roman"/>
        <family val="1"/>
      </rPr>
      <t>25,0</t>
    </r>
  </si>
  <si>
    <t>Г, Л, Я, МП</t>
  </si>
  <si>
    <t>Курячі нагетси</t>
  </si>
  <si>
    <t>15,1</t>
  </si>
  <si>
    <t>7,7</t>
  </si>
  <si>
    <t>17,7</t>
  </si>
  <si>
    <t>Яйце варене</t>
  </si>
  <si>
    <t>Куліш з курячим м'ясом</t>
  </si>
  <si>
    <t>12,2</t>
  </si>
  <si>
    <t>26,7</t>
  </si>
  <si>
    <t>21,7</t>
  </si>
  <si>
    <t>16,9</t>
  </si>
  <si>
    <t>37,0</t>
  </si>
  <si>
    <t>МП, Л, Я</t>
  </si>
  <si>
    <t>Булгур (розсипчастий)</t>
  </si>
  <si>
    <t>Каша пшенична (розсипчаста)</t>
  </si>
  <si>
    <t>Чахохбілі з куркою</t>
  </si>
  <si>
    <r>
      <rPr>
        <sz val="8"/>
        <rFont val="Times New Roman"/>
        <family val="1"/>
      </rPr>
      <t>2,7</t>
    </r>
  </si>
  <si>
    <r>
      <rPr>
        <sz val="8"/>
        <rFont val="Times New Roman"/>
        <family val="1"/>
      </rPr>
      <t>Р, Г, МП, Л</t>
    </r>
  </si>
  <si>
    <r>
      <rPr>
        <sz val="8"/>
        <rFont val="Times New Roman"/>
        <family val="1"/>
      </rPr>
      <t>Риба запечена з морквою та цибулею під соусом
"Бешамель"</t>
    </r>
  </si>
  <si>
    <r>
      <rPr>
        <sz val="8"/>
        <rFont val="Times New Roman"/>
        <family val="1"/>
      </rPr>
      <t>9,6</t>
    </r>
  </si>
  <si>
    <t xml:space="preserve">Аналіз виконання норм харчування        ОЗО "Морозівський ліцей ім.Д.Поповича "       1-2 ТИЖДЕНЬ </t>
  </si>
  <si>
    <t>ТК №2</t>
  </si>
  <si>
    <t>ТК №4</t>
  </si>
  <si>
    <t>ТК №5</t>
  </si>
  <si>
    <t>ТК №6</t>
  </si>
  <si>
    <t>ТК №9</t>
  </si>
  <si>
    <t>ТК №12</t>
  </si>
  <si>
    <t>Сік фруктовий</t>
  </si>
  <si>
    <t>ТК №13</t>
  </si>
  <si>
    <t>ТК №15</t>
  </si>
  <si>
    <t>ТК №16</t>
  </si>
  <si>
    <t>ТК №17</t>
  </si>
  <si>
    <t>ТК №18</t>
  </si>
  <si>
    <t>ТК №20</t>
  </si>
  <si>
    <t>ТК №22</t>
  </si>
  <si>
    <t>ТК №26</t>
  </si>
  <si>
    <t>ТК №28</t>
  </si>
  <si>
    <t>ТК №35</t>
  </si>
  <si>
    <t>ТК №36</t>
  </si>
  <si>
    <t>ТК №38</t>
  </si>
  <si>
    <t>ТК №39</t>
  </si>
  <si>
    <t>ТК №41</t>
  </si>
  <si>
    <t>ТК №42</t>
  </si>
  <si>
    <t>ТК №43</t>
  </si>
  <si>
    <t>ТК №44</t>
  </si>
  <si>
    <t>ТК №45</t>
  </si>
  <si>
    <t>ТК №48</t>
  </si>
  <si>
    <t>ТК №50</t>
  </si>
  <si>
    <t>ТК №51</t>
  </si>
  <si>
    <t>ТК №57</t>
  </si>
  <si>
    <t>Фрукти та ягоди</t>
  </si>
  <si>
    <t>Хліб (житній,батон)</t>
  </si>
  <si>
    <t>МП, Г</t>
  </si>
  <si>
    <t>250/5</t>
  </si>
  <si>
    <t>Борщ з картоплею зі сметаною</t>
  </si>
  <si>
    <t xml:space="preserve"> Г</t>
  </si>
  <si>
    <t>С</t>
  </si>
  <si>
    <t>МП,Л,С</t>
  </si>
  <si>
    <t>Баришівська селищна рада</t>
  </si>
  <si>
    <t>Крупи</t>
  </si>
  <si>
    <t>Картопля</t>
  </si>
  <si>
    <t>Овочі</t>
  </si>
  <si>
    <r>
      <t>А</t>
    </r>
    <r>
      <rPr>
        <b/>
        <sz val="14"/>
        <color indexed="8"/>
        <rFont val="Times New Roman"/>
        <family val="1"/>
      </rPr>
      <t xml:space="preserve">наліз виконання норм харчування       ОЗО "Морозівський ліцей ім.Д.Поповича "       3-4 ТИЖДЕНЬ </t>
    </r>
  </si>
  <si>
    <t>Г,Я</t>
  </si>
  <si>
    <t>ЗП,МП,Л</t>
  </si>
  <si>
    <t>ЗП,Г</t>
  </si>
  <si>
    <t>Ліниві вареники з кисломолочного сиру із соусом сметанковим</t>
  </si>
  <si>
    <t xml:space="preserve">Всього </t>
  </si>
  <si>
    <t>Пром-ве вироб.</t>
  </si>
  <si>
    <t>ТК №52   ТК №52.1</t>
  </si>
  <si>
    <t>Всього енергетична цінність сніданку  за       I тиждень</t>
  </si>
  <si>
    <t xml:space="preserve">Середня енергетична цінність сніданку  за тиждень </t>
  </si>
  <si>
    <t>Всього енергетична цінність сніданку  за II тиждень</t>
  </si>
  <si>
    <t>Середня енергетична цінність сніданку  за тиждень</t>
  </si>
  <si>
    <t>Всього енергетична цінність сніданку    за III тиждень</t>
  </si>
  <si>
    <t>Всього енергетична цінність сніданку  за IV тиждень</t>
  </si>
  <si>
    <t>ТК №3             ТК № 3.1</t>
  </si>
  <si>
    <t xml:space="preserve">       525-630</t>
  </si>
  <si>
    <t xml:space="preserve">      600-720</t>
  </si>
  <si>
    <t xml:space="preserve">    675-810</t>
  </si>
  <si>
    <t>Всього середнє за місяць</t>
  </si>
  <si>
    <t>Всього енергетична цінність   за місяць</t>
  </si>
  <si>
    <t>Овочева паелья з куркумою</t>
  </si>
  <si>
    <t>180/25</t>
  </si>
  <si>
    <t>Салат з буряком та чорносливом</t>
  </si>
  <si>
    <t>200/5</t>
  </si>
  <si>
    <t>120/25</t>
  </si>
  <si>
    <t>ТК №59</t>
  </si>
  <si>
    <t>Гречка з томатною пастою</t>
  </si>
  <si>
    <t>ТК №15.1</t>
  </si>
  <si>
    <t>Чай з лимоном</t>
  </si>
  <si>
    <t>Салат з морквою та імбирем</t>
  </si>
  <si>
    <t xml:space="preserve">Курка тушкована в соусі гуляш </t>
  </si>
  <si>
    <t>Узвар</t>
  </si>
  <si>
    <t>Суп картопляний з макаронними виробами</t>
  </si>
  <si>
    <t>Паличка куряча</t>
  </si>
  <si>
    <t>120/15</t>
  </si>
  <si>
    <t>Стіки курячі</t>
  </si>
  <si>
    <t>Запіканка рисова з ягідним кюлі</t>
  </si>
  <si>
    <t>150/25</t>
  </si>
  <si>
    <t xml:space="preserve">Вінегрет </t>
  </si>
  <si>
    <t xml:space="preserve">          на зимовий період</t>
  </si>
  <si>
    <t xml:space="preserve">Запіканка сирна з
яблуком та морквою </t>
  </si>
  <si>
    <t>Розсольник</t>
  </si>
  <si>
    <t>3,1</t>
  </si>
  <si>
    <t>Борщ український  із квасолею</t>
  </si>
  <si>
    <t>Фрукти свіжі (по сезону)</t>
  </si>
  <si>
    <t>Хліб житній,або пшеничний</t>
  </si>
  <si>
    <t>ТК №51.1</t>
  </si>
  <si>
    <t>ТК №51.2</t>
  </si>
  <si>
    <t>ТК №1</t>
  </si>
  <si>
    <t>ТК №17.1</t>
  </si>
  <si>
    <t>ТК №25 ТК№25.1</t>
  </si>
  <si>
    <t>ТК №10</t>
  </si>
  <si>
    <t>МП,Л,Г</t>
  </si>
  <si>
    <t>ТК №7</t>
  </si>
  <si>
    <t>ТК №11</t>
  </si>
  <si>
    <t>ТК №17.2</t>
  </si>
  <si>
    <t>ТК №19</t>
  </si>
  <si>
    <t>ТК №23</t>
  </si>
  <si>
    <t>ТК №24</t>
  </si>
  <si>
    <t>ТК №30</t>
  </si>
  <si>
    <t xml:space="preserve">Капусняк </t>
  </si>
  <si>
    <r>
      <t>Каша пшенична в</t>
    </r>
    <r>
      <rPr>
        <sz val="8"/>
        <color indexed="8"/>
        <rFont val="Calibri"/>
        <family val="2"/>
      </rPr>
      <t>´</t>
    </r>
    <r>
      <rPr>
        <sz val="8"/>
        <color indexed="8"/>
        <rFont val="Times New Roman"/>
        <family val="1"/>
      </rPr>
      <t xml:space="preserve">язка </t>
    </r>
  </si>
  <si>
    <r>
      <t>Каша ячна в</t>
    </r>
    <r>
      <rPr>
        <sz val="8"/>
        <rFont val="Calibri"/>
        <family val="2"/>
      </rPr>
      <t>´</t>
    </r>
    <r>
      <rPr>
        <sz val="8"/>
        <rFont val="Times New Roman"/>
        <family val="1"/>
      </rPr>
      <t>язка</t>
    </r>
  </si>
  <si>
    <t>Запіканка макаронно- сирна із сметаною</t>
  </si>
  <si>
    <t>МП,Я</t>
  </si>
  <si>
    <t>200/6</t>
  </si>
  <si>
    <t xml:space="preserve">Компот із свіжих (заморожених) ягід,  та родзинками або напій лимонний </t>
  </si>
  <si>
    <t>ТК №54      ТК № 54.1</t>
  </si>
  <si>
    <t>ТК №</t>
  </si>
  <si>
    <t xml:space="preserve">Огірок солоний </t>
  </si>
  <si>
    <t>Салат із вареного буряка зі сметаною</t>
  </si>
  <si>
    <t>Салат з буряком та чорносливом зі сметаною</t>
  </si>
  <si>
    <t>200/7</t>
  </si>
  <si>
    <t>Суп селянський  з крупою вівсяною та  сметаною</t>
  </si>
  <si>
    <t>ТК №4.1</t>
  </si>
  <si>
    <t>Суп картопляний з гречаною крупою</t>
  </si>
  <si>
    <t xml:space="preserve">Борщ український </t>
  </si>
  <si>
    <t>МП,  Г</t>
  </si>
  <si>
    <t>Г, Я</t>
  </si>
  <si>
    <t xml:space="preserve">Г,Р,Я </t>
  </si>
  <si>
    <t>Котлета рибна</t>
  </si>
  <si>
    <t>Салат з капустою білокачаною  та морквою або салат з квашеної  капусти</t>
  </si>
  <si>
    <t>ТК №5.1</t>
  </si>
  <si>
    <t>Огірок солоний або салат з соленого огірка і цибулі</t>
  </si>
  <si>
    <t>Суп польовий з сметаною</t>
  </si>
  <si>
    <t>ТК №6.1</t>
  </si>
  <si>
    <t>ТК №54           ТК № 54.1</t>
  </si>
  <si>
    <t>Розсольник/Борщ зелений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</si>
</sst>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 * #,##0_ ;_ * \-#,##0_ ;_ * &quot;-&quot;_ ;_ @_ 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  <numFmt numFmtId="192" formatCode="[$-422]d\ mmmm\ yyyy&quot; р.&quot;"/>
  </numFmts>
  <fonts count="99">
    <font>
      <sz val="11"/>
      <color theme="1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63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&quot;Times New Roman&quot;"/>
      <family val="0"/>
    </font>
    <font>
      <b/>
      <sz val="8"/>
      <color indexed="63"/>
      <name val="Times New Roman"/>
      <family val="1"/>
    </font>
    <font>
      <b/>
      <sz val="8"/>
      <color indexed="8"/>
      <name val="Calibri"/>
      <family val="2"/>
    </font>
    <font>
      <sz val="8"/>
      <color indexed="10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111111"/>
      <name val="Times New Roman"/>
      <family val="1"/>
    </font>
    <font>
      <sz val="8"/>
      <color rgb="FF161616"/>
      <name val="Times New Roman"/>
      <family val="1"/>
    </font>
    <font>
      <sz val="8"/>
      <color rgb="FF1F1F1F"/>
      <name val="Times New Roman"/>
      <family val="1"/>
    </font>
    <font>
      <sz val="8"/>
      <color rgb="FF131313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&quot;Times New Roman&quot;"/>
      <family val="0"/>
    </font>
    <font>
      <b/>
      <sz val="8"/>
      <color rgb="FF282828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sz val="8"/>
      <color rgb="FFFF0000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22"/>
      <color theme="1"/>
      <name val="Times New Roman"/>
      <family val="1"/>
    </font>
    <font>
      <sz val="8"/>
      <color theme="1"/>
      <name val="&quot;Times New Roman&quot;"/>
      <family val="0"/>
    </font>
    <font>
      <sz val="22"/>
      <color theme="1"/>
      <name val="Times New Roman"/>
      <family val="1"/>
    </font>
    <font>
      <sz val="1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>
        <color indexed="63"/>
      </right>
      <top/>
      <bottom/>
    </border>
    <border>
      <left>
        <color indexed="63"/>
      </left>
      <right style="thin">
        <color rgb="FF000000"/>
      </right>
      <top/>
      <bottom/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8" borderId="6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4" fillId="31" borderId="7" applyNumberFormat="0" applyFont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9" xfId="0" applyFont="1" applyBorder="1" applyAlignment="1">
      <alignment/>
    </xf>
    <xf numFmtId="0" fontId="71" fillId="33" borderId="9" xfId="0" applyFont="1" applyFill="1" applyBorder="1" applyAlignment="1">
      <alignment/>
    </xf>
    <xf numFmtId="0" fontId="70" fillId="33" borderId="9" xfId="0" applyFont="1" applyFill="1" applyBorder="1" applyAlignment="1">
      <alignment/>
    </xf>
    <xf numFmtId="2" fontId="70" fillId="0" borderId="10" xfId="0" applyNumberFormat="1" applyFont="1" applyBorder="1" applyAlignment="1">
      <alignment/>
    </xf>
    <xf numFmtId="0" fontId="71" fillId="0" borderId="10" xfId="0" applyFont="1" applyBorder="1" applyAlignment="1">
      <alignment/>
    </xf>
    <xf numFmtId="0" fontId="71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2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2" fontId="71" fillId="0" borderId="0" xfId="0" applyNumberFormat="1" applyFont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72" fillId="0" borderId="0" xfId="0" applyFont="1" applyAlignment="1">
      <alignment horizontal="right"/>
    </xf>
    <xf numFmtId="0" fontId="73" fillId="0" borderId="0" xfId="0" applyFont="1" applyAlignment="1">
      <alignment horizontal="center"/>
    </xf>
    <xf numFmtId="0" fontId="7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74" fillId="34" borderId="11" xfId="0" applyFont="1" applyFill="1" applyBorder="1" applyAlignment="1">
      <alignment horizontal="center" vertical="center" wrapText="1"/>
    </xf>
    <xf numFmtId="0" fontId="74" fillId="35" borderId="11" xfId="0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horizontal="left" vertical="top" wrapText="1"/>
    </xf>
    <xf numFmtId="0" fontId="74" fillId="0" borderId="11" xfId="0" applyFont="1" applyBorder="1" applyAlignment="1">
      <alignment horizontal="center" vertical="top" wrapText="1"/>
    </xf>
    <xf numFmtId="0" fontId="71" fillId="0" borderId="11" xfId="0" applyFont="1" applyBorder="1" applyAlignment="1">
      <alignment wrapText="1"/>
    </xf>
    <xf numFmtId="0" fontId="75" fillId="0" borderId="11" xfId="0" applyFont="1" applyBorder="1" applyAlignment="1">
      <alignment wrapText="1"/>
    </xf>
    <xf numFmtId="0" fontId="75" fillId="0" borderId="11" xfId="0" applyFont="1" applyBorder="1" applyAlignment="1">
      <alignment horizontal="center" wrapText="1"/>
    </xf>
    <xf numFmtId="2" fontId="75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left" vertical="center" wrapText="1"/>
    </xf>
    <xf numFmtId="1" fontId="75" fillId="0" borderId="11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70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left" vertical="center" wrapText="1"/>
    </xf>
    <xf numFmtId="0" fontId="71" fillId="36" borderId="12" xfId="0" applyFont="1" applyFill="1" applyBorder="1" applyAlignment="1">
      <alignment horizontal="left" vertical="center" wrapText="1"/>
    </xf>
    <xf numFmtId="0" fontId="75" fillId="36" borderId="12" xfId="0" applyFont="1" applyFill="1" applyBorder="1" applyAlignment="1">
      <alignment horizontal="left" vertical="center" wrapText="1"/>
    </xf>
    <xf numFmtId="0" fontId="75" fillId="36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" fontId="75" fillId="0" borderId="11" xfId="0" applyNumberFormat="1" applyFont="1" applyBorder="1" applyAlignment="1">
      <alignment horizontal="center" vertical="center" shrinkToFit="1"/>
    </xf>
    <xf numFmtId="2" fontId="75" fillId="0" borderId="11" xfId="0" applyNumberFormat="1" applyFont="1" applyBorder="1" applyAlignment="1">
      <alignment horizontal="center" vertical="center" shrinkToFit="1"/>
    </xf>
    <xf numFmtId="0" fontId="75" fillId="36" borderId="11" xfId="0" applyFont="1" applyFill="1" applyBorder="1" applyAlignment="1">
      <alignment horizontal="left" vertical="center" wrapText="1"/>
    </xf>
    <xf numFmtId="0" fontId="75" fillId="36" borderId="11" xfId="0" applyFont="1" applyFill="1" applyBorder="1" applyAlignment="1">
      <alignment horizontal="center" vertical="center" wrapText="1"/>
    </xf>
    <xf numFmtId="0" fontId="75" fillId="36" borderId="11" xfId="0" applyFont="1" applyFill="1" applyBorder="1" applyAlignment="1">
      <alignment vertical="center" wrapText="1"/>
    </xf>
    <xf numFmtId="2" fontId="75" fillId="36" borderId="11" xfId="0" applyNumberFormat="1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horizontal="left" vertical="center" wrapText="1"/>
    </xf>
    <xf numFmtId="2" fontId="77" fillId="0" borderId="11" xfId="0" applyNumberFormat="1" applyFont="1" applyBorder="1" applyAlignment="1">
      <alignment horizontal="center" vertical="center" wrapText="1"/>
    </xf>
    <xf numFmtId="2" fontId="78" fillId="0" borderId="11" xfId="0" applyNumberFormat="1" applyFont="1" applyBorder="1" applyAlignment="1">
      <alignment horizontal="center" vertical="center" wrapText="1"/>
    </xf>
    <xf numFmtId="2" fontId="79" fillId="0" borderId="11" xfId="0" applyNumberFormat="1" applyFont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left" vertical="center" wrapText="1"/>
    </xf>
    <xf numFmtId="0" fontId="71" fillId="36" borderId="11" xfId="0" applyFont="1" applyFill="1" applyBorder="1" applyAlignment="1">
      <alignment horizontal="left" vertical="center" wrapText="1"/>
    </xf>
    <xf numFmtId="0" fontId="71" fillId="0" borderId="9" xfId="0" applyFont="1" applyBorder="1" applyAlignment="1">
      <alignment wrapText="1"/>
    </xf>
    <xf numFmtId="1" fontId="75" fillId="0" borderId="9" xfId="0" applyNumberFormat="1" applyFont="1" applyBorder="1" applyAlignment="1">
      <alignment horizontal="center" vertical="center" shrinkToFit="1"/>
    </xf>
    <xf numFmtId="0" fontId="72" fillId="0" borderId="0" xfId="0" applyFont="1" applyAlignment="1">
      <alignment horizontal="left"/>
    </xf>
    <xf numFmtId="0" fontId="80" fillId="0" borderId="0" xfId="0" applyFont="1" applyAlignment="1">
      <alignment/>
    </xf>
    <xf numFmtId="0" fontId="72" fillId="0" borderId="0" xfId="0" applyFont="1" applyAlignment="1">
      <alignment horizontal="left"/>
    </xf>
    <xf numFmtId="0" fontId="80" fillId="0" borderId="0" xfId="0" applyFont="1" applyAlignment="1">
      <alignment horizontal="center"/>
    </xf>
    <xf numFmtId="2" fontId="75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 vertical="center" wrapText="1"/>
    </xf>
    <xf numFmtId="186" fontId="81" fillId="0" borderId="11" xfId="0" applyNumberFormat="1" applyFont="1" applyFill="1" applyBorder="1" applyAlignment="1">
      <alignment horizontal="center"/>
    </xf>
    <xf numFmtId="0" fontId="75" fillId="0" borderId="11" xfId="0" applyFont="1" applyFill="1" applyBorder="1" applyAlignment="1">
      <alignment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1" fontId="75" fillId="0" borderId="13" xfId="0" applyNumberFormat="1" applyFont="1" applyBorder="1" applyAlignment="1">
      <alignment horizontal="center" vertical="center" shrinkToFit="1"/>
    </xf>
    <xf numFmtId="0" fontId="70" fillId="0" borderId="13" xfId="0" applyFont="1" applyBorder="1" applyAlignment="1">
      <alignment horizontal="left" vertical="center" wrapText="1"/>
    </xf>
    <xf numFmtId="0" fontId="71" fillId="0" borderId="13" xfId="0" applyFont="1" applyFill="1" applyBorder="1" applyAlignment="1">
      <alignment horizontal="left" vertical="center" wrapText="1"/>
    </xf>
    <xf numFmtId="1" fontId="75" fillId="0" borderId="13" xfId="0" applyNumberFormat="1" applyFont="1" applyFill="1" applyBorder="1" applyAlignment="1">
      <alignment horizontal="center" vertical="center" shrinkToFit="1"/>
    </xf>
    <xf numFmtId="0" fontId="71" fillId="0" borderId="13" xfId="0" applyFont="1" applyFill="1" applyBorder="1" applyAlignment="1">
      <alignment horizontal="center" vertical="center" wrapText="1"/>
    </xf>
    <xf numFmtId="1" fontId="75" fillId="0" borderId="9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2" fontId="81" fillId="0" borderId="11" xfId="0" applyNumberFormat="1" applyFont="1" applyFill="1" applyBorder="1" applyAlignment="1">
      <alignment horizontal="center"/>
    </xf>
    <xf numFmtId="1" fontId="75" fillId="0" borderId="13" xfId="0" applyNumberFormat="1" applyFont="1" applyBorder="1" applyAlignment="1">
      <alignment horizontal="center" vertical="center" shrinkToFit="1"/>
    </xf>
    <xf numFmtId="0" fontId="71" fillId="0" borderId="12" xfId="0" applyFont="1" applyBorder="1" applyAlignment="1">
      <alignment wrapText="1"/>
    </xf>
    <xf numFmtId="0" fontId="71" fillId="0" borderId="14" xfId="0" applyFont="1" applyBorder="1" applyAlignment="1">
      <alignment wrapText="1"/>
    </xf>
    <xf numFmtId="0" fontId="70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" fontId="75" fillId="0" borderId="15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2" fontId="74" fillId="0" borderId="11" xfId="0" applyNumberFormat="1" applyFont="1" applyBorder="1" applyAlignment="1">
      <alignment horizontal="center" wrapText="1"/>
    </xf>
    <xf numFmtId="0" fontId="74" fillId="0" borderId="9" xfId="0" applyFont="1" applyBorder="1" applyAlignment="1">
      <alignment horizontal="center"/>
    </xf>
    <xf numFmtId="0" fontId="74" fillId="0" borderId="11" xfId="0" applyFont="1" applyFill="1" applyBorder="1" applyAlignment="1">
      <alignment horizontal="center" wrapText="1"/>
    </xf>
    <xf numFmtId="2" fontId="6" fillId="0" borderId="11" xfId="0" applyNumberFormat="1" applyFont="1" applyBorder="1" applyAlignment="1">
      <alignment horizontal="center" vertical="center" wrapText="1"/>
    </xf>
    <xf numFmtId="1" fontId="74" fillId="0" borderId="11" xfId="0" applyNumberFormat="1" applyFont="1" applyBorder="1" applyAlignment="1">
      <alignment horizontal="center" vertical="center" shrinkToFit="1"/>
    </xf>
    <xf numFmtId="0" fontId="74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shrinkToFit="1"/>
    </xf>
    <xf numFmtId="1" fontId="74" fillId="0" borderId="9" xfId="0" applyNumberFormat="1" applyFont="1" applyBorder="1" applyAlignment="1">
      <alignment horizontal="center" vertical="center" shrinkToFit="1"/>
    </xf>
    <xf numFmtId="2" fontId="74" fillId="36" borderId="11" xfId="0" applyNumberFormat="1" applyFont="1" applyFill="1" applyBorder="1" applyAlignment="1">
      <alignment horizontal="center" vertical="center" wrapText="1"/>
    </xf>
    <xf numFmtId="0" fontId="74" fillId="36" borderId="12" xfId="0" applyFont="1" applyFill="1" applyBorder="1" applyAlignment="1">
      <alignment horizontal="center" vertical="center" wrapText="1"/>
    </xf>
    <xf numFmtId="2" fontId="82" fillId="0" borderId="11" xfId="0" applyNumberFormat="1" applyFont="1" applyBorder="1" applyAlignment="1">
      <alignment horizontal="center" vertical="center" wrapText="1"/>
    </xf>
    <xf numFmtId="0" fontId="74" fillId="36" borderId="11" xfId="0" applyFont="1" applyFill="1" applyBorder="1" applyAlignment="1">
      <alignment horizontal="center" vertical="center" wrapText="1"/>
    </xf>
    <xf numFmtId="1" fontId="74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1" fontId="74" fillId="0" borderId="15" xfId="0" applyNumberFormat="1" applyFont="1" applyBorder="1" applyAlignment="1">
      <alignment horizontal="center" vertical="center" shrinkToFit="1"/>
    </xf>
    <xf numFmtId="1" fontId="74" fillId="0" borderId="13" xfId="0" applyNumberFormat="1" applyFont="1" applyFill="1" applyBorder="1" applyAlignment="1">
      <alignment horizontal="center" vertical="center" shrinkToFit="1"/>
    </xf>
    <xf numFmtId="0" fontId="83" fillId="0" borderId="15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left" vertical="center"/>
    </xf>
    <xf numFmtId="16" fontId="83" fillId="0" borderId="15" xfId="0" applyNumberFormat="1" applyFont="1" applyBorder="1" applyAlignment="1">
      <alignment horizontal="center" vertical="center"/>
    </xf>
    <xf numFmtId="0" fontId="71" fillId="33" borderId="9" xfId="0" applyFont="1" applyFill="1" applyBorder="1" applyAlignment="1">
      <alignment horizontal="center"/>
    </xf>
    <xf numFmtId="0" fontId="83" fillId="0" borderId="9" xfId="0" applyFont="1" applyBorder="1" applyAlignment="1">
      <alignment horizontal="center"/>
    </xf>
    <xf numFmtId="0" fontId="84" fillId="33" borderId="15" xfId="0" applyFont="1" applyFill="1" applyBorder="1" applyAlignment="1">
      <alignment horizontal="center"/>
    </xf>
    <xf numFmtId="0" fontId="84" fillId="33" borderId="10" xfId="0" applyFont="1" applyFill="1" applyBorder="1" applyAlignment="1">
      <alignment horizontal="center"/>
    </xf>
    <xf numFmtId="0" fontId="83" fillId="33" borderId="10" xfId="0" applyFont="1" applyFill="1" applyBorder="1" applyAlignment="1">
      <alignment horizontal="center"/>
    </xf>
    <xf numFmtId="0" fontId="84" fillId="33" borderId="13" xfId="0" applyFont="1" applyFill="1" applyBorder="1" applyAlignment="1">
      <alignment horizontal="center"/>
    </xf>
    <xf numFmtId="0" fontId="83" fillId="33" borderId="9" xfId="0" applyFont="1" applyFill="1" applyBorder="1" applyAlignment="1">
      <alignment horizontal="center"/>
    </xf>
    <xf numFmtId="0" fontId="84" fillId="33" borderId="9" xfId="0" applyFont="1" applyFill="1" applyBorder="1" applyAlignment="1">
      <alignment horizontal="center"/>
    </xf>
    <xf numFmtId="0" fontId="84" fillId="0" borderId="15" xfId="0" applyFont="1" applyBorder="1" applyAlignment="1">
      <alignment horizontal="left" vertical="center"/>
    </xf>
    <xf numFmtId="0" fontId="84" fillId="0" borderId="15" xfId="0" applyFont="1" applyBorder="1" applyAlignment="1">
      <alignment horizontal="center" vertical="center"/>
    </xf>
    <xf numFmtId="2" fontId="71" fillId="0" borderId="9" xfId="0" applyNumberFormat="1" applyFont="1" applyBorder="1" applyAlignment="1">
      <alignment horizontal="center" vertical="center"/>
    </xf>
    <xf numFmtId="2" fontId="71" fillId="0" borderId="9" xfId="0" applyNumberFormat="1" applyFont="1" applyBorder="1" applyAlignment="1">
      <alignment horizontal="center"/>
    </xf>
    <xf numFmtId="2" fontId="85" fillId="0" borderId="9" xfId="0" applyNumberFormat="1" applyFont="1" applyBorder="1" applyAlignment="1">
      <alignment horizontal="center"/>
    </xf>
    <xf numFmtId="2" fontId="71" fillId="33" borderId="9" xfId="0" applyNumberFormat="1" applyFont="1" applyFill="1" applyBorder="1" applyAlignment="1">
      <alignment horizontal="center"/>
    </xf>
    <xf numFmtId="2" fontId="71" fillId="0" borderId="10" xfId="0" applyNumberFormat="1" applyFont="1" applyBorder="1" applyAlignment="1">
      <alignment horizontal="center"/>
    </xf>
    <xf numFmtId="0" fontId="0" fillId="37" borderId="11" xfId="0" applyFill="1" applyBorder="1" applyAlignment="1">
      <alignment/>
    </xf>
    <xf numFmtId="0" fontId="86" fillId="37" borderId="11" xfId="0" applyFont="1" applyFill="1" applyBorder="1" applyAlignment="1">
      <alignment/>
    </xf>
    <xf numFmtId="0" fontId="83" fillId="37" borderId="11" xfId="0" applyFont="1" applyFill="1" applyBorder="1" applyAlignment="1">
      <alignment horizontal="center"/>
    </xf>
    <xf numFmtId="2" fontId="83" fillId="37" borderId="11" xfId="0" applyNumberFormat="1" applyFont="1" applyFill="1" applyBorder="1" applyAlignment="1">
      <alignment horizontal="center"/>
    </xf>
    <xf numFmtId="0" fontId="83" fillId="37" borderId="11" xfId="0" applyFont="1" applyFill="1" applyBorder="1" applyAlignment="1">
      <alignment/>
    </xf>
    <xf numFmtId="2" fontId="74" fillId="37" borderId="14" xfId="0" applyNumberFormat="1" applyFont="1" applyFill="1" applyBorder="1" applyAlignment="1">
      <alignment horizontal="center" vertical="center" wrapText="1"/>
    </xf>
    <xf numFmtId="0" fontId="74" fillId="37" borderId="14" xfId="0" applyFont="1" applyFill="1" applyBorder="1" applyAlignment="1">
      <alignment horizontal="center" vertical="center" wrapText="1"/>
    </xf>
    <xf numFmtId="2" fontId="74" fillId="37" borderId="11" xfId="0" applyNumberFormat="1" applyFont="1" applyFill="1" applyBorder="1" applyAlignment="1">
      <alignment horizontal="center" vertical="center" wrapText="1"/>
    </xf>
    <xf numFmtId="0" fontId="74" fillId="38" borderId="11" xfId="0" applyFont="1" applyFill="1" applyBorder="1" applyAlignment="1">
      <alignment horizontal="center" vertical="center" wrapText="1"/>
    </xf>
    <xf numFmtId="2" fontId="74" fillId="38" borderId="11" xfId="0" applyNumberFormat="1" applyFont="1" applyFill="1" applyBorder="1" applyAlignment="1">
      <alignment horizontal="center" vertical="center" wrapText="1"/>
    </xf>
    <xf numFmtId="0" fontId="75" fillId="38" borderId="11" xfId="0" applyFont="1" applyFill="1" applyBorder="1" applyAlignment="1">
      <alignment horizontal="left" vertical="center" wrapText="1"/>
    </xf>
    <xf numFmtId="0" fontId="74" fillId="38" borderId="11" xfId="0" applyFont="1" applyFill="1" applyBorder="1" applyAlignment="1">
      <alignment horizontal="left" vertical="center" wrapText="1"/>
    </xf>
    <xf numFmtId="2" fontId="83" fillId="39" borderId="11" xfId="0" applyNumberFormat="1" applyFont="1" applyFill="1" applyBorder="1" applyAlignment="1">
      <alignment horizontal="center" vertical="center" wrapText="1"/>
    </xf>
    <xf numFmtId="0" fontId="83" fillId="39" borderId="11" xfId="0" applyFont="1" applyFill="1" applyBorder="1" applyAlignment="1">
      <alignment horizontal="center" vertical="center" wrapText="1"/>
    </xf>
    <xf numFmtId="2" fontId="74" fillId="39" borderId="11" xfId="0" applyNumberFormat="1" applyFont="1" applyFill="1" applyBorder="1" applyAlignment="1">
      <alignment horizontal="center" vertical="center" wrapText="1"/>
    </xf>
    <xf numFmtId="0" fontId="74" fillId="17" borderId="11" xfId="0" applyFont="1" applyFill="1" applyBorder="1" applyAlignment="1">
      <alignment horizontal="left" vertical="center" wrapText="1"/>
    </xf>
    <xf numFmtId="0" fontId="75" fillId="17" borderId="11" xfId="0" applyFont="1" applyFill="1" applyBorder="1" applyAlignment="1">
      <alignment horizontal="left" vertical="center" wrapText="1"/>
    </xf>
    <xf numFmtId="0" fontId="74" fillId="17" borderId="11" xfId="0" applyFont="1" applyFill="1" applyBorder="1" applyAlignment="1">
      <alignment horizontal="center" vertical="center" wrapText="1"/>
    </xf>
    <xf numFmtId="2" fontId="74" fillId="17" borderId="11" xfId="0" applyNumberFormat="1" applyFont="1" applyFill="1" applyBorder="1" applyAlignment="1">
      <alignment horizontal="center" vertical="center" wrapText="1"/>
    </xf>
    <xf numFmtId="2" fontId="74" fillId="17" borderId="11" xfId="0" applyNumberFormat="1" applyFont="1" applyFill="1" applyBorder="1" applyAlignment="1">
      <alignment horizontal="left" vertical="center" wrapText="1"/>
    </xf>
    <xf numFmtId="0" fontId="83" fillId="17" borderId="11" xfId="0" applyFont="1" applyFill="1" applyBorder="1" applyAlignment="1">
      <alignment horizontal="left" vertical="center" wrapText="1"/>
    </xf>
    <xf numFmtId="0" fontId="83" fillId="17" borderId="11" xfId="0" applyFont="1" applyFill="1" applyBorder="1" applyAlignment="1">
      <alignment horizontal="center" vertical="center" wrapText="1"/>
    </xf>
    <xf numFmtId="2" fontId="83" fillId="17" borderId="11" xfId="0" applyNumberFormat="1" applyFont="1" applyFill="1" applyBorder="1" applyAlignment="1">
      <alignment horizontal="left" vertical="center" wrapText="1"/>
    </xf>
    <xf numFmtId="2" fontId="83" fillId="17" borderId="11" xfId="0" applyNumberFormat="1" applyFont="1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left"/>
    </xf>
    <xf numFmtId="0" fontId="4" fillId="17" borderId="11" xfId="0" applyFont="1" applyFill="1" applyBorder="1" applyAlignment="1">
      <alignment horizontal="center"/>
    </xf>
    <xf numFmtId="0" fontId="74" fillId="17" borderId="11" xfId="0" applyFont="1" applyFill="1" applyBorder="1" applyAlignment="1">
      <alignment vertical="center" wrapText="1"/>
    </xf>
    <xf numFmtId="0" fontId="83" fillId="17" borderId="11" xfId="0" applyFont="1" applyFill="1" applyBorder="1" applyAlignment="1">
      <alignment vertical="center" wrapText="1"/>
    </xf>
    <xf numFmtId="0" fontId="4" fillId="17" borderId="11" xfId="0" applyFont="1" applyFill="1" applyBorder="1" applyAlignment="1">
      <alignment/>
    </xf>
    <xf numFmtId="2" fontId="74" fillId="17" borderId="14" xfId="0" applyNumberFormat="1" applyFont="1" applyFill="1" applyBorder="1" applyAlignment="1">
      <alignment horizontal="center" vertical="center" wrapText="1"/>
    </xf>
    <xf numFmtId="0" fontId="74" fillId="17" borderId="14" xfId="0" applyFont="1" applyFill="1" applyBorder="1" applyAlignment="1">
      <alignment horizontal="center" vertical="center" wrapText="1"/>
    </xf>
    <xf numFmtId="0" fontId="5" fillId="17" borderId="11" xfId="0" applyFont="1" applyFill="1" applyBorder="1" applyAlignment="1">
      <alignment horizontal="left"/>
    </xf>
    <xf numFmtId="0" fontId="74" fillId="40" borderId="11" xfId="0" applyFont="1" applyFill="1" applyBorder="1" applyAlignment="1">
      <alignment horizontal="left"/>
    </xf>
    <xf numFmtId="2" fontId="75" fillId="40" borderId="11" xfId="0" applyNumberFormat="1" applyFont="1" applyFill="1" applyBorder="1" applyAlignment="1">
      <alignment horizontal="center"/>
    </xf>
    <xf numFmtId="2" fontId="75" fillId="40" borderId="11" xfId="0" applyNumberFormat="1" applyFont="1" applyFill="1" applyBorder="1" applyAlignment="1">
      <alignment horizontal="center" vertical="center" wrapText="1"/>
    </xf>
    <xf numFmtId="0" fontId="75" fillId="40" borderId="11" xfId="0" applyFont="1" applyFill="1" applyBorder="1" applyAlignment="1">
      <alignment horizontal="center" vertical="center" wrapText="1"/>
    </xf>
    <xf numFmtId="2" fontId="74" fillId="40" borderId="11" xfId="0" applyNumberFormat="1" applyFont="1" applyFill="1" applyBorder="1" applyAlignment="1">
      <alignment horizontal="center" vertical="center" wrapText="1"/>
    </xf>
    <xf numFmtId="0" fontId="74" fillId="40" borderId="11" xfId="0" applyFont="1" applyFill="1" applyBorder="1" applyAlignment="1">
      <alignment horizontal="center" vertical="center" wrapText="1"/>
    </xf>
    <xf numFmtId="0" fontId="74" fillId="40" borderId="11" xfId="0" applyFont="1" applyFill="1" applyBorder="1" applyAlignment="1">
      <alignment/>
    </xf>
    <xf numFmtId="0" fontId="74" fillId="40" borderId="11" xfId="0" applyFont="1" applyFill="1" applyBorder="1" applyAlignment="1">
      <alignment horizontal="center"/>
    </xf>
    <xf numFmtId="0" fontId="75" fillId="40" borderId="11" xfId="0" applyFont="1" applyFill="1" applyBorder="1" applyAlignment="1">
      <alignment horizontal="center"/>
    </xf>
    <xf numFmtId="2" fontId="75" fillId="40" borderId="11" xfId="0" applyNumberFormat="1" applyFont="1" applyFill="1" applyBorder="1" applyAlignment="1">
      <alignment horizontal="left"/>
    </xf>
    <xf numFmtId="2" fontId="74" fillId="40" borderId="11" xfId="0" applyNumberFormat="1" applyFont="1" applyFill="1" applyBorder="1" applyAlignment="1">
      <alignment horizontal="left" vertical="center" wrapText="1"/>
    </xf>
    <xf numFmtId="0" fontId="71" fillId="0" borderId="11" xfId="0" applyFont="1" applyBorder="1" applyAlignment="1">
      <alignment/>
    </xf>
    <xf numFmtId="0" fontId="74" fillId="0" borderId="11" xfId="0" applyFont="1" applyBorder="1" applyAlignment="1">
      <alignment horizontal="center"/>
    </xf>
    <xf numFmtId="2" fontId="75" fillId="0" borderId="11" xfId="0" applyNumberFormat="1" applyFont="1" applyBorder="1" applyAlignment="1">
      <alignment horizontal="center"/>
    </xf>
    <xf numFmtId="0" fontId="72" fillId="0" borderId="0" xfId="0" applyFont="1" applyAlignment="1">
      <alignment horizontal="left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 horizontal="center"/>
    </xf>
    <xf numFmtId="2" fontId="89" fillId="0" borderId="0" xfId="0" applyNumberFormat="1" applyFont="1" applyAlignment="1">
      <alignment horizontal="center"/>
    </xf>
    <xf numFmtId="0" fontId="90" fillId="0" borderId="0" xfId="0" applyFont="1" applyAlignment="1">
      <alignment/>
    </xf>
    <xf numFmtId="0" fontId="89" fillId="0" borderId="0" xfId="0" applyFont="1" applyAlignment="1">
      <alignment/>
    </xf>
    <xf numFmtId="0" fontId="91" fillId="0" borderId="0" xfId="0" applyFont="1" applyAlignment="1">
      <alignment/>
    </xf>
    <xf numFmtId="0" fontId="89" fillId="0" borderId="0" xfId="0" applyFont="1" applyAlignment="1">
      <alignment horizontal="left"/>
    </xf>
    <xf numFmtId="0" fontId="89" fillId="0" borderId="0" xfId="0" applyFont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0" fontId="74" fillId="0" borderId="16" xfId="0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center" vertical="center" wrapText="1"/>
    </xf>
    <xf numFmtId="2" fontId="74" fillId="0" borderId="14" xfId="0" applyNumberFormat="1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2" fontId="74" fillId="0" borderId="11" xfId="0" applyNumberFormat="1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83" fillId="0" borderId="0" xfId="0" applyFont="1" applyFill="1" applyBorder="1" applyAlignment="1">
      <alignment horizontal="center"/>
    </xf>
    <xf numFmtId="2" fontId="8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3" fillId="0" borderId="0" xfId="0" applyFont="1" applyAlignment="1">
      <alignment horizontal="center"/>
    </xf>
    <xf numFmtId="2" fontId="94" fillId="0" borderId="11" xfId="0" applyNumberFormat="1" applyFont="1" applyFill="1" applyBorder="1" applyAlignment="1">
      <alignment horizontal="center" vertical="center" wrapText="1"/>
    </xf>
    <xf numFmtId="0" fontId="95" fillId="0" borderId="0" xfId="0" applyFont="1" applyAlignment="1">
      <alignment/>
    </xf>
    <xf numFmtId="0" fontId="95" fillId="0" borderId="0" xfId="0" applyFont="1" applyAlignment="1">
      <alignment horizontal="center"/>
    </xf>
    <xf numFmtId="0" fontId="71" fillId="0" borderId="19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" fontId="75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83" fillId="0" borderId="11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1" fontId="75" fillId="0" borderId="13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" fontId="75" fillId="0" borderId="11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1" fontId="75" fillId="0" borderId="10" xfId="0" applyNumberFormat="1" applyFont="1" applyBorder="1" applyAlignment="1">
      <alignment horizontal="center" shrinkToFit="1"/>
    </xf>
    <xf numFmtId="0" fontId="4" fillId="0" borderId="10" xfId="0" applyFont="1" applyBorder="1" applyAlignment="1">
      <alignment horizontal="center" wrapText="1"/>
    </xf>
    <xf numFmtId="1" fontId="75" fillId="0" borderId="15" xfId="0" applyNumberFormat="1" applyFont="1" applyBorder="1" applyAlignment="1">
      <alignment horizontal="center" vertical="center" shrinkToFit="1"/>
    </xf>
    <xf numFmtId="1" fontId="74" fillId="0" borderId="10" xfId="0" applyNumberFormat="1" applyFont="1" applyBorder="1" applyAlignment="1">
      <alignment horizontal="center" vertical="center" shrinkToFit="1"/>
    </xf>
    <xf numFmtId="1" fontId="75" fillId="0" borderId="10" xfId="0" applyNumberFormat="1" applyFont="1" applyBorder="1" applyAlignment="1">
      <alignment horizontal="center" vertical="center" shrinkToFit="1"/>
    </xf>
    <xf numFmtId="1" fontId="75" fillId="0" borderId="11" xfId="0" applyNumberFormat="1" applyFont="1" applyBorder="1" applyAlignment="1">
      <alignment horizontal="center" vertical="center" shrinkToFit="1"/>
    </xf>
    <xf numFmtId="2" fontId="85" fillId="33" borderId="9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4" fillId="0" borderId="15" xfId="0" applyFont="1" applyBorder="1" applyAlignment="1">
      <alignment horizontal="center" vertical="center" shrinkToFit="1"/>
    </xf>
    <xf numFmtId="0" fontId="75" fillId="36" borderId="20" xfId="0" applyFont="1" applyFill="1" applyBorder="1" applyAlignment="1">
      <alignment horizontal="left" vertical="center" wrapText="1"/>
    </xf>
    <xf numFmtId="2" fontId="74" fillId="36" borderId="17" xfId="0" applyNumberFormat="1" applyFont="1" applyFill="1" applyBorder="1" applyAlignment="1">
      <alignment horizontal="center" vertical="center" wrapText="1"/>
    </xf>
    <xf numFmtId="2" fontId="75" fillId="40" borderId="14" xfId="0" applyNumberFormat="1" applyFont="1" applyFill="1" applyBorder="1" applyAlignment="1">
      <alignment horizontal="center"/>
    </xf>
    <xf numFmtId="0" fontId="71" fillId="36" borderId="11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1" fontId="74" fillId="0" borderId="22" xfId="0" applyNumberFormat="1" applyFont="1" applyBorder="1" applyAlignment="1">
      <alignment horizontal="center" vertical="center" shrinkToFit="1"/>
    </xf>
    <xf numFmtId="2" fontId="75" fillId="36" borderId="18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1" fillId="0" borderId="15" xfId="0" applyFont="1" applyBorder="1" applyAlignment="1">
      <alignment/>
    </xf>
    <xf numFmtId="0" fontId="83" fillId="0" borderId="15" xfId="0" applyFont="1" applyBorder="1" applyAlignment="1">
      <alignment horizontal="center"/>
    </xf>
    <xf numFmtId="2" fontId="71" fillId="0" borderId="15" xfId="0" applyNumberFormat="1" applyFont="1" applyBorder="1" applyAlignment="1">
      <alignment horizontal="center"/>
    </xf>
    <xf numFmtId="0" fontId="71" fillId="0" borderId="15" xfId="0" applyFont="1" applyBorder="1" applyAlignment="1">
      <alignment horizontal="center" vertical="center"/>
    </xf>
    <xf numFmtId="2" fontId="71" fillId="0" borderId="15" xfId="0" applyNumberFormat="1" applyFont="1" applyBorder="1" applyAlignment="1">
      <alignment horizontal="center" vertical="center"/>
    </xf>
    <xf numFmtId="0" fontId="70" fillId="0" borderId="11" xfId="0" applyFont="1" applyBorder="1" applyAlignment="1">
      <alignment/>
    </xf>
    <xf numFmtId="2" fontId="70" fillId="0" borderId="11" xfId="0" applyNumberFormat="1" applyFont="1" applyBorder="1" applyAlignment="1">
      <alignment/>
    </xf>
    <xf numFmtId="0" fontId="71" fillId="0" borderId="11" xfId="0" applyFont="1" applyFill="1" applyBorder="1" applyAlignment="1">
      <alignment wrapText="1"/>
    </xf>
    <xf numFmtId="0" fontId="71" fillId="36" borderId="11" xfId="0" applyFont="1" applyFill="1" applyBorder="1" applyAlignment="1">
      <alignment vertical="center" wrapText="1"/>
    </xf>
    <xf numFmtId="2" fontId="83" fillId="36" borderId="11" xfId="0" applyNumberFormat="1" applyFont="1" applyFill="1" applyBorder="1" applyAlignment="1">
      <alignment horizontal="center" vertical="center" wrapText="1"/>
    </xf>
    <xf numFmtId="2" fontId="71" fillId="36" borderId="11" xfId="0" applyNumberFormat="1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wrapText="1"/>
    </xf>
    <xf numFmtId="186" fontId="96" fillId="0" borderId="11" xfId="0" applyNumberFormat="1" applyFont="1" applyFill="1" applyBorder="1" applyAlignment="1">
      <alignment horizontal="center"/>
    </xf>
    <xf numFmtId="2" fontId="71" fillId="36" borderId="18" xfId="0" applyNumberFormat="1" applyFont="1" applyFill="1" applyBorder="1" applyAlignment="1">
      <alignment horizontal="center" vertical="center" wrapText="1"/>
    </xf>
    <xf numFmtId="2" fontId="83" fillId="36" borderId="17" xfId="0" applyNumberFormat="1" applyFont="1" applyFill="1" applyBorder="1" applyAlignment="1">
      <alignment horizontal="center" vertical="center" wrapText="1"/>
    </xf>
    <xf numFmtId="0" fontId="71" fillId="36" borderId="11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0" fontId="74" fillId="40" borderId="18" xfId="0" applyFont="1" applyFill="1" applyBorder="1" applyAlignment="1">
      <alignment horizontal="left"/>
    </xf>
    <xf numFmtId="0" fontId="74" fillId="40" borderId="16" xfId="0" applyFont="1" applyFill="1" applyBorder="1" applyAlignment="1">
      <alignment horizontal="left"/>
    </xf>
    <xf numFmtId="0" fontId="74" fillId="40" borderId="17" xfId="0" applyFont="1" applyFill="1" applyBorder="1" applyAlignment="1">
      <alignment horizontal="left"/>
    </xf>
    <xf numFmtId="0" fontId="74" fillId="37" borderId="18" xfId="0" applyFont="1" applyFill="1" applyBorder="1" applyAlignment="1">
      <alignment horizontal="center" vertical="center" wrapText="1"/>
    </xf>
    <xf numFmtId="0" fontId="74" fillId="37" borderId="16" xfId="0" applyFont="1" applyFill="1" applyBorder="1" applyAlignment="1">
      <alignment horizontal="center" vertical="center" wrapText="1"/>
    </xf>
    <xf numFmtId="0" fontId="74" fillId="37" borderId="17" xfId="0" applyFont="1" applyFill="1" applyBorder="1" applyAlignment="1">
      <alignment horizontal="center" vertical="center" wrapText="1"/>
    </xf>
    <xf numFmtId="0" fontId="74" fillId="17" borderId="11" xfId="0" applyFont="1" applyFill="1" applyBorder="1" applyAlignment="1">
      <alignment horizontal="left" vertical="center" wrapTex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74" fillId="40" borderId="11" xfId="0" applyFont="1" applyFill="1" applyBorder="1" applyAlignment="1">
      <alignment horizontal="left" vertical="center" wrapText="1"/>
    </xf>
    <xf numFmtId="0" fontId="83" fillId="37" borderId="18" xfId="0" applyFont="1" applyFill="1" applyBorder="1" applyAlignment="1">
      <alignment/>
    </xf>
    <xf numFmtId="0" fontId="83" fillId="37" borderId="16" xfId="0" applyFont="1" applyFill="1" applyBorder="1" applyAlignment="1">
      <alignment/>
    </xf>
    <xf numFmtId="0" fontId="83" fillId="37" borderId="17" xfId="0" applyFont="1" applyFill="1" applyBorder="1" applyAlignment="1">
      <alignment/>
    </xf>
    <xf numFmtId="0" fontId="74" fillId="17" borderId="18" xfId="0" applyFont="1" applyFill="1" applyBorder="1" applyAlignment="1">
      <alignment horizontal="left" vertical="center" wrapText="1"/>
    </xf>
    <xf numFmtId="0" fontId="74" fillId="17" borderId="16" xfId="0" applyFont="1" applyFill="1" applyBorder="1" applyAlignment="1">
      <alignment horizontal="left" vertical="center" wrapText="1"/>
    </xf>
    <xf numFmtId="0" fontId="74" fillId="17" borderId="17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5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90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98" fillId="0" borderId="23" xfId="0" applyFont="1" applyBorder="1" applyAlignment="1">
      <alignment horizontal="right"/>
    </xf>
    <xf numFmtId="2" fontId="71" fillId="33" borderId="15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71" fillId="33" borderId="10" xfId="0" applyNumberFormat="1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/>
    </xf>
    <xf numFmtId="4" fontId="71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7" fillId="37" borderId="24" xfId="0" applyFont="1" applyFill="1" applyBorder="1" applyAlignment="1">
      <alignment/>
    </xf>
    <xf numFmtId="0" fontId="7" fillId="37" borderId="25" xfId="0" applyFont="1" applyFill="1" applyBorder="1" applyAlignment="1">
      <alignment/>
    </xf>
    <xf numFmtId="0" fontId="7" fillId="37" borderId="26" xfId="0" applyFont="1" applyFill="1" applyBorder="1" applyAlignment="1">
      <alignment/>
    </xf>
    <xf numFmtId="0" fontId="83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4" fontId="71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90" fillId="37" borderId="24" xfId="0" applyFont="1" applyFill="1" applyBorder="1" applyAlignment="1">
      <alignment/>
    </xf>
    <xf numFmtId="0" fontId="9" fillId="37" borderId="25" xfId="0" applyFont="1" applyFill="1" applyBorder="1" applyAlignment="1">
      <alignment/>
    </xf>
    <xf numFmtId="0" fontId="9" fillId="37" borderId="26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6"/>
  <sheetViews>
    <sheetView tabSelected="1" view="pageBreakPreview" zoomScaleSheetLayoutView="100" zoomScalePageLayoutView="39" workbookViewId="0" topLeftCell="A31">
      <selection activeCell="C44" sqref="C44"/>
    </sheetView>
  </sheetViews>
  <sheetFormatPr defaultColWidth="9.00390625" defaultRowHeight="15"/>
  <cols>
    <col min="1" max="1" width="10.28125" style="0" customWidth="1"/>
    <col min="2" max="2" width="7.7109375" style="0" customWidth="1"/>
    <col min="3" max="3" width="27.421875" style="0" customWidth="1"/>
    <col min="4" max="4" width="7.00390625" style="0" customWidth="1"/>
    <col min="5" max="5" width="11.140625" style="9" customWidth="1"/>
    <col min="6" max="6" width="8.421875" style="9" customWidth="1"/>
    <col min="7" max="7" width="18.7109375" style="9" customWidth="1"/>
    <col min="8" max="8" width="8.8515625" style="9" customWidth="1"/>
    <col min="9" max="9" width="6.28125" style="9" customWidth="1"/>
    <col min="10" max="10" width="10.421875" style="9" customWidth="1"/>
    <col min="11" max="11" width="6.140625" style="9" customWidth="1"/>
    <col min="12" max="12" width="6.28125" style="9" customWidth="1"/>
    <col min="13" max="13" width="8.28125" style="9" customWidth="1"/>
    <col min="14" max="14" width="10.00390625" style="9" customWidth="1"/>
    <col min="15" max="15" width="9.57421875" style="9" customWidth="1"/>
    <col min="16" max="16" width="6.7109375" style="9" customWidth="1"/>
    <col min="17" max="17" width="6.421875" style="9" customWidth="1"/>
    <col min="18" max="18" width="7.7109375" style="9" customWidth="1"/>
    <col min="19" max="19" width="9.00390625" style="0" customWidth="1"/>
    <col min="20" max="20" width="19.8515625" style="0" customWidth="1"/>
    <col min="21" max="21" width="34.7109375" style="0" customWidth="1"/>
  </cols>
  <sheetData>
    <row r="1" spans="1:19" ht="22.5" customHeight="1">
      <c r="A1" s="268" t="s">
        <v>0</v>
      </c>
      <c r="B1" s="268"/>
      <c r="C1" s="268"/>
      <c r="D1" s="172"/>
      <c r="E1" s="173"/>
      <c r="F1" s="173"/>
      <c r="G1" s="173"/>
      <c r="H1" s="174" t="s">
        <v>0</v>
      </c>
      <c r="I1" s="175"/>
      <c r="J1" s="175"/>
      <c r="K1" s="175"/>
      <c r="L1" s="175"/>
      <c r="M1" s="172"/>
      <c r="N1" s="172"/>
      <c r="O1" s="172"/>
      <c r="P1" s="174" t="s">
        <v>1</v>
      </c>
      <c r="Q1" s="174"/>
      <c r="R1" s="174"/>
      <c r="S1" s="176"/>
    </row>
    <row r="2" spans="1:19" ht="18.75">
      <c r="A2" s="177"/>
      <c r="B2" s="177"/>
      <c r="C2" s="177"/>
      <c r="D2" s="172"/>
      <c r="E2" s="173"/>
      <c r="F2" s="173"/>
      <c r="G2" s="173"/>
      <c r="H2" s="175"/>
      <c r="I2" s="175"/>
      <c r="J2" s="175"/>
      <c r="K2" s="175"/>
      <c r="L2" s="175"/>
      <c r="M2" s="172"/>
      <c r="N2" s="172"/>
      <c r="O2" s="172"/>
      <c r="P2" s="175"/>
      <c r="Q2" s="175"/>
      <c r="R2" s="175"/>
      <c r="S2" s="176"/>
    </row>
    <row r="3" spans="1:19" ht="18" customHeight="1">
      <c r="A3" s="178" t="s">
        <v>139</v>
      </c>
      <c r="B3" s="178"/>
      <c r="C3" s="172"/>
      <c r="D3" s="172"/>
      <c r="E3" s="173"/>
      <c r="F3" s="173"/>
      <c r="G3" s="173"/>
      <c r="H3" s="175" t="s">
        <v>132</v>
      </c>
      <c r="I3" s="175"/>
      <c r="J3" s="175"/>
      <c r="K3" s="175"/>
      <c r="L3" s="175"/>
      <c r="M3" s="175"/>
      <c r="N3" s="172"/>
      <c r="O3" s="172"/>
      <c r="P3" s="172" t="s">
        <v>129</v>
      </c>
      <c r="Q3" s="172"/>
      <c r="R3" s="173"/>
      <c r="S3" s="176"/>
    </row>
    <row r="4" spans="1:19" ht="15" customHeight="1">
      <c r="A4" s="178" t="s">
        <v>140</v>
      </c>
      <c r="B4" s="178"/>
      <c r="C4" s="172"/>
      <c r="D4" s="172"/>
      <c r="E4" s="173"/>
      <c r="F4" s="173"/>
      <c r="G4" s="173"/>
      <c r="H4" s="175" t="s">
        <v>133</v>
      </c>
      <c r="I4" s="175"/>
      <c r="J4" s="175"/>
      <c r="K4" s="175"/>
      <c r="L4" s="175"/>
      <c r="M4" s="175"/>
      <c r="N4" s="172"/>
      <c r="O4" s="172"/>
      <c r="P4" s="172" t="s">
        <v>130</v>
      </c>
      <c r="Q4" s="172"/>
      <c r="R4" s="173"/>
      <c r="S4" s="176"/>
    </row>
    <row r="5" spans="1:21" ht="18.75">
      <c r="A5" s="178" t="s">
        <v>141</v>
      </c>
      <c r="B5" s="178"/>
      <c r="C5" s="178"/>
      <c r="D5" s="172"/>
      <c r="E5" s="173"/>
      <c r="F5" s="173"/>
      <c r="G5" s="173"/>
      <c r="H5" s="175" t="s">
        <v>134</v>
      </c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5"/>
      <c r="U5" s="15"/>
    </row>
    <row r="6" spans="1:19" ht="18.75">
      <c r="A6" s="178" t="s">
        <v>142</v>
      </c>
      <c r="B6" s="178"/>
      <c r="C6" s="178"/>
      <c r="D6" s="172"/>
      <c r="E6" s="173"/>
      <c r="F6" s="173"/>
      <c r="G6" s="173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3"/>
      <c r="S6" s="176"/>
    </row>
    <row r="7" spans="1:19" ht="18.75">
      <c r="A7" s="178" t="s">
        <v>136</v>
      </c>
      <c r="B7" s="178"/>
      <c r="C7" s="178"/>
      <c r="D7" s="172"/>
      <c r="E7" s="173"/>
      <c r="F7" s="173"/>
      <c r="G7" s="173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3"/>
      <c r="S7" s="176"/>
    </row>
    <row r="8" spans="1:19" ht="18.75">
      <c r="A8" s="269" t="s">
        <v>131</v>
      </c>
      <c r="B8" s="269"/>
      <c r="C8" s="269"/>
      <c r="D8" s="172"/>
      <c r="E8" s="173"/>
      <c r="F8" s="173"/>
      <c r="G8" s="173"/>
      <c r="H8" s="175" t="s">
        <v>135</v>
      </c>
      <c r="I8" s="175"/>
      <c r="J8" s="175"/>
      <c r="K8" s="175"/>
      <c r="L8" s="175"/>
      <c r="M8" s="175"/>
      <c r="N8" s="175" t="s">
        <v>143</v>
      </c>
      <c r="O8" s="175"/>
      <c r="P8" s="175"/>
      <c r="Q8" s="175"/>
      <c r="R8" s="173"/>
      <c r="S8" s="176"/>
    </row>
    <row r="9" spans="1:18" ht="15">
      <c r="A9" s="12"/>
      <c r="B9" s="12"/>
      <c r="C9" s="12"/>
      <c r="D9" s="13"/>
      <c r="E9" s="14"/>
      <c r="F9" s="14"/>
      <c r="G9" s="14"/>
      <c r="H9" s="15"/>
      <c r="I9" s="15"/>
      <c r="J9" s="15"/>
      <c r="K9" s="15"/>
      <c r="L9" s="15"/>
      <c r="M9" s="15"/>
      <c r="N9" s="15"/>
      <c r="O9" s="15"/>
      <c r="P9" s="15"/>
      <c r="Q9" s="15"/>
      <c r="R9" s="14"/>
    </row>
    <row r="10" spans="1:18" ht="15">
      <c r="A10" s="169"/>
      <c r="B10" s="169"/>
      <c r="C10" s="169"/>
      <c r="D10" s="13"/>
      <c r="E10" s="14"/>
      <c r="F10" s="14"/>
      <c r="G10" s="1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4"/>
    </row>
    <row r="11" spans="1:18" ht="15">
      <c r="A11" s="169"/>
      <c r="B11" s="169"/>
      <c r="C11" s="169"/>
      <c r="D11" s="13"/>
      <c r="E11" s="14"/>
      <c r="F11" s="14"/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4"/>
    </row>
    <row r="12" spans="1:18" ht="15">
      <c r="A12" s="169"/>
      <c r="B12" s="169"/>
      <c r="C12" s="169"/>
      <c r="D12" s="13"/>
      <c r="E12" s="14"/>
      <c r="F12" s="14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4"/>
    </row>
    <row r="13" spans="1:18" ht="15">
      <c r="A13" s="59"/>
      <c r="B13" s="59"/>
      <c r="C13" s="59"/>
      <c r="D13" s="13"/>
      <c r="E13" s="14"/>
      <c r="F13" s="14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4"/>
    </row>
    <row r="14" spans="1:18" ht="27">
      <c r="A14" s="59"/>
      <c r="B14" s="59"/>
      <c r="C14" s="194" t="s">
        <v>2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5"/>
      <c r="P14" s="15"/>
      <c r="Q14" s="15"/>
      <c r="R14" s="14"/>
    </row>
    <row r="15" spans="1:18" ht="27">
      <c r="A15" s="59"/>
      <c r="B15" s="59"/>
      <c r="C15" s="264" t="s">
        <v>127</v>
      </c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15"/>
      <c r="P15" s="15"/>
      <c r="Q15" s="15"/>
      <c r="R15" s="14"/>
    </row>
    <row r="16" spans="1:18" ht="27">
      <c r="A16" s="61"/>
      <c r="B16" s="61"/>
      <c r="C16" s="195"/>
      <c r="D16" s="264" t="s">
        <v>268</v>
      </c>
      <c r="E16" s="264"/>
      <c r="F16" s="264"/>
      <c r="G16" s="264"/>
      <c r="H16" s="194"/>
      <c r="I16" s="194"/>
      <c r="J16" s="194"/>
      <c r="K16" s="194"/>
      <c r="L16" s="194"/>
      <c r="M16" s="194"/>
      <c r="N16" s="194"/>
      <c r="O16" s="15"/>
      <c r="P16" s="15"/>
      <c r="Q16" s="15"/>
      <c r="R16" s="14"/>
    </row>
    <row r="17" spans="1:18" ht="48" customHeight="1">
      <c r="A17" s="59"/>
      <c r="B17" s="59"/>
      <c r="C17" s="265" t="s">
        <v>225</v>
      </c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15"/>
      <c r="P17" s="15"/>
      <c r="Q17" s="15"/>
      <c r="R17" s="14"/>
    </row>
    <row r="18" spans="1:18" ht="21" customHeight="1">
      <c r="A18" s="62"/>
      <c r="B18" s="16"/>
      <c r="C18" s="266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15"/>
      <c r="P18" s="15"/>
      <c r="Q18" s="15"/>
      <c r="R18" s="14"/>
    </row>
    <row r="19" spans="1:18" ht="24.75" customHeight="1">
      <c r="A19" s="59"/>
      <c r="B19" s="60"/>
      <c r="C19" s="60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4"/>
    </row>
    <row r="20" spans="1:18" ht="21.75" customHeight="1">
      <c r="A20" s="59"/>
      <c r="B20" s="6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4"/>
    </row>
    <row r="21" spans="1:18" ht="21.75" customHeight="1">
      <c r="A21" s="12"/>
      <c r="B21" s="6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4"/>
    </row>
    <row r="22" spans="1:18" ht="15">
      <c r="A22" s="59"/>
      <c r="B22" s="59"/>
      <c r="C22" s="59"/>
      <c r="D22" s="13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4"/>
    </row>
    <row r="23" spans="1:18" ht="15">
      <c r="A23" s="59"/>
      <c r="B23" s="59"/>
      <c r="C23" s="59"/>
      <c r="D23" s="13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4"/>
    </row>
    <row r="24" spans="1:18" ht="15">
      <c r="A24" s="59"/>
      <c r="B24" s="59"/>
      <c r="C24" s="59"/>
      <c r="D24" s="13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4"/>
    </row>
    <row r="25" spans="1:18" ht="15">
      <c r="A25" s="59"/>
      <c r="B25" s="59"/>
      <c r="C25" s="59"/>
      <c r="D25" s="13"/>
      <c r="E25" s="14"/>
      <c r="F25" s="14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4"/>
    </row>
    <row r="26" spans="1:18" ht="15">
      <c r="A26" s="59"/>
      <c r="B26" s="59"/>
      <c r="C26" s="59"/>
      <c r="D26" s="13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4"/>
    </row>
    <row r="27" spans="1:18" ht="15">
      <c r="A27" s="12"/>
      <c r="B27" s="12"/>
      <c r="C27" s="12"/>
      <c r="D27" s="13"/>
      <c r="E27" s="14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4"/>
    </row>
    <row r="28" spans="1:18" s="9" customFormat="1" ht="22.5">
      <c r="A28" s="16"/>
      <c r="B28" s="16"/>
      <c r="O28" s="19"/>
      <c r="P28" s="13"/>
      <c r="Q28" s="13"/>
      <c r="R28" s="14"/>
    </row>
    <row r="29" spans="1:18" ht="15">
      <c r="A29" s="18"/>
      <c r="B29" s="18"/>
      <c r="P29" s="13"/>
      <c r="Q29" s="13"/>
      <c r="R29" s="14"/>
    </row>
    <row r="30" spans="1:18" ht="25.5">
      <c r="A30" s="18"/>
      <c r="B30" s="18"/>
      <c r="C30" s="180"/>
      <c r="D30" s="180"/>
      <c r="E30" s="180"/>
      <c r="F30" s="180"/>
      <c r="G30" s="180"/>
      <c r="H30" s="179"/>
      <c r="I30" s="179"/>
      <c r="J30" s="179"/>
      <c r="K30" s="179"/>
      <c r="L30" s="179"/>
      <c r="M30" s="179"/>
      <c r="N30" s="179"/>
      <c r="O30" s="17"/>
      <c r="P30" s="13"/>
      <c r="Q30" s="13"/>
      <c r="R30" s="14"/>
    </row>
    <row r="31" spans="1:18" ht="23.25">
      <c r="A31" s="20"/>
      <c r="B31" s="2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14"/>
    </row>
    <row r="32" spans="1:18" ht="15">
      <c r="A32" s="21"/>
      <c r="B32" s="21"/>
      <c r="C32" s="21"/>
      <c r="D32" s="261" t="s">
        <v>3</v>
      </c>
      <c r="E32" s="262"/>
      <c r="F32" s="262"/>
      <c r="G32" s="262"/>
      <c r="H32" s="263"/>
      <c r="I32" s="261" t="s">
        <v>4</v>
      </c>
      <c r="J32" s="262"/>
      <c r="K32" s="262"/>
      <c r="L32" s="262"/>
      <c r="M32" s="263"/>
      <c r="N32" s="261" t="s">
        <v>5</v>
      </c>
      <c r="O32" s="262"/>
      <c r="P32" s="262"/>
      <c r="Q32" s="262"/>
      <c r="R32" s="263"/>
    </row>
    <row r="33" spans="1:18" ht="31.5">
      <c r="A33" s="22" t="s">
        <v>6</v>
      </c>
      <c r="B33" s="22" t="s">
        <v>7</v>
      </c>
      <c r="C33" s="23" t="s">
        <v>8</v>
      </c>
      <c r="D33" s="24" t="s">
        <v>9</v>
      </c>
      <c r="E33" s="135" t="s">
        <v>244</v>
      </c>
      <c r="F33" s="135" t="s">
        <v>10</v>
      </c>
      <c r="G33" s="135" t="s">
        <v>11</v>
      </c>
      <c r="H33" s="135" t="s">
        <v>12</v>
      </c>
      <c r="I33" s="24" t="s">
        <v>9</v>
      </c>
      <c r="J33" s="136" t="s">
        <v>245</v>
      </c>
      <c r="K33" s="136" t="s">
        <v>13</v>
      </c>
      <c r="L33" s="136" t="s">
        <v>13</v>
      </c>
      <c r="M33" s="136" t="s">
        <v>14</v>
      </c>
      <c r="N33" s="24" t="s">
        <v>9</v>
      </c>
      <c r="O33" s="137" t="s">
        <v>246</v>
      </c>
      <c r="P33" s="137" t="s">
        <v>15</v>
      </c>
      <c r="Q33" s="137" t="s">
        <v>15</v>
      </c>
      <c r="R33" s="137" t="s">
        <v>16</v>
      </c>
    </row>
    <row r="34" spans="1:18" ht="31.5">
      <c r="A34" s="134"/>
      <c r="B34" s="134"/>
      <c r="C34" s="131" t="s">
        <v>17</v>
      </c>
      <c r="D34" s="132"/>
      <c r="E34" s="132" t="s">
        <v>18</v>
      </c>
      <c r="F34" s="132" t="s">
        <v>19</v>
      </c>
      <c r="G34" s="132" t="s">
        <v>20</v>
      </c>
      <c r="H34" s="132" t="s">
        <v>21</v>
      </c>
      <c r="I34" s="132"/>
      <c r="J34" s="132" t="s">
        <v>18</v>
      </c>
      <c r="K34" s="132" t="s">
        <v>19</v>
      </c>
      <c r="L34" s="132" t="s">
        <v>20</v>
      </c>
      <c r="M34" s="132" t="s">
        <v>21</v>
      </c>
      <c r="N34" s="131"/>
      <c r="O34" s="132" t="s">
        <v>18</v>
      </c>
      <c r="P34" s="132" t="s">
        <v>19</v>
      </c>
      <c r="Q34" s="132" t="s">
        <v>20</v>
      </c>
      <c r="R34" s="132" t="s">
        <v>21</v>
      </c>
    </row>
    <row r="35" spans="1:18" ht="15">
      <c r="A35" s="25">
        <v>1</v>
      </c>
      <c r="B35" s="25"/>
      <c r="C35" s="25">
        <v>2</v>
      </c>
      <c r="D35" s="26">
        <v>3</v>
      </c>
      <c r="E35" s="26">
        <v>4</v>
      </c>
      <c r="F35" s="26">
        <v>5</v>
      </c>
      <c r="G35" s="26">
        <v>6</v>
      </c>
      <c r="H35" s="26">
        <v>7</v>
      </c>
      <c r="I35" s="26">
        <v>3</v>
      </c>
      <c r="J35" s="26">
        <v>4</v>
      </c>
      <c r="K35" s="26">
        <v>5</v>
      </c>
      <c r="L35" s="26">
        <v>6</v>
      </c>
      <c r="M35" s="26">
        <v>7</v>
      </c>
      <c r="N35" s="26">
        <v>3</v>
      </c>
      <c r="O35" s="26">
        <v>4</v>
      </c>
      <c r="P35" s="26">
        <v>5</v>
      </c>
      <c r="Q35" s="26">
        <v>6</v>
      </c>
      <c r="R35" s="26">
        <v>7</v>
      </c>
    </row>
    <row r="36" spans="1:18" ht="15">
      <c r="A36" s="155" t="s">
        <v>22</v>
      </c>
      <c r="B36" s="155"/>
      <c r="C36" s="155" t="s">
        <v>23</v>
      </c>
      <c r="D36" s="156"/>
      <c r="E36" s="156"/>
      <c r="F36" s="156"/>
      <c r="G36" s="156"/>
      <c r="H36" s="156"/>
      <c r="I36" s="157"/>
      <c r="J36" s="156"/>
      <c r="K36" s="156"/>
      <c r="L36" s="156"/>
      <c r="M36" s="156"/>
      <c r="N36" s="158"/>
      <c r="O36" s="156"/>
      <c r="P36" s="156"/>
      <c r="Q36" s="156"/>
      <c r="R36" s="156"/>
    </row>
    <row r="37" spans="1:18" ht="24.75" customHeight="1">
      <c r="A37" s="27" t="s">
        <v>280</v>
      </c>
      <c r="B37" s="27" t="s">
        <v>281</v>
      </c>
      <c r="C37" s="236" t="s">
        <v>316</v>
      </c>
      <c r="D37" s="237">
        <v>200</v>
      </c>
      <c r="E37" s="238">
        <v>107</v>
      </c>
      <c r="F37" s="238">
        <v>2.1</v>
      </c>
      <c r="G37" s="238">
        <v>4.4</v>
      </c>
      <c r="H37" s="238">
        <v>14.5</v>
      </c>
      <c r="I37" s="237">
        <v>250</v>
      </c>
      <c r="J37" s="238">
        <v>133</v>
      </c>
      <c r="K37" s="238">
        <v>2.6</v>
      </c>
      <c r="L37" s="238">
        <v>5.5</v>
      </c>
      <c r="M37" s="238">
        <v>18.2</v>
      </c>
      <c r="N37" s="237">
        <v>250</v>
      </c>
      <c r="O37" s="238">
        <v>133</v>
      </c>
      <c r="P37" s="238">
        <v>2.6</v>
      </c>
      <c r="Q37" s="238">
        <v>5.5</v>
      </c>
      <c r="R37" s="238">
        <v>18.2</v>
      </c>
    </row>
    <row r="38" spans="1:18" ht="15">
      <c r="A38" s="196" t="s">
        <v>256</v>
      </c>
      <c r="B38" s="197" t="s">
        <v>33</v>
      </c>
      <c r="C38" s="197" t="s">
        <v>255</v>
      </c>
      <c r="D38" s="198">
        <v>120</v>
      </c>
      <c r="E38" s="199">
        <v>137.2</v>
      </c>
      <c r="F38" s="200">
        <v>4.6</v>
      </c>
      <c r="G38" s="200">
        <v>2.6</v>
      </c>
      <c r="H38" s="200">
        <v>5.82</v>
      </c>
      <c r="I38" s="198">
        <v>120</v>
      </c>
      <c r="J38" s="199">
        <v>137.2</v>
      </c>
      <c r="K38" s="200">
        <v>4.6</v>
      </c>
      <c r="L38" s="200">
        <v>2.6</v>
      </c>
      <c r="M38" s="200">
        <v>5.82</v>
      </c>
      <c r="N38" s="198">
        <v>150</v>
      </c>
      <c r="O38" s="199">
        <v>171.5</v>
      </c>
      <c r="P38" s="200">
        <v>5.7</v>
      </c>
      <c r="Q38" s="200">
        <v>3.3</v>
      </c>
      <c r="R38" s="200">
        <v>32.3</v>
      </c>
    </row>
    <row r="39" spans="1:18" ht="15.75" customHeight="1">
      <c r="A39" s="27" t="s">
        <v>206</v>
      </c>
      <c r="B39" s="37" t="s">
        <v>222</v>
      </c>
      <c r="C39" s="66" t="s">
        <v>182</v>
      </c>
      <c r="D39" s="88">
        <v>100</v>
      </c>
      <c r="E39" s="77">
        <v>126.29</v>
      </c>
      <c r="F39" s="77">
        <v>15.2</v>
      </c>
      <c r="G39" s="77">
        <v>4.48</v>
      </c>
      <c r="H39" s="77">
        <v>5.3</v>
      </c>
      <c r="I39" s="88">
        <v>150</v>
      </c>
      <c r="J39" s="77">
        <v>189.4</v>
      </c>
      <c r="K39" s="77">
        <v>22.8</v>
      </c>
      <c r="L39" s="77">
        <v>6.7</v>
      </c>
      <c r="M39" s="77">
        <v>7.9</v>
      </c>
      <c r="N39" s="88">
        <v>150</v>
      </c>
      <c r="O39" s="77">
        <v>189.4</v>
      </c>
      <c r="P39" s="77">
        <v>22.8</v>
      </c>
      <c r="Q39" s="77">
        <v>6.7</v>
      </c>
      <c r="R39" s="77">
        <v>7.9</v>
      </c>
    </row>
    <row r="40" spans="1:18" ht="24" customHeight="1">
      <c r="A40" s="27" t="s">
        <v>279</v>
      </c>
      <c r="B40" s="27"/>
      <c r="C40" s="66" t="s">
        <v>310</v>
      </c>
      <c r="D40" s="88">
        <v>50</v>
      </c>
      <c r="E40" s="65">
        <v>40.61</v>
      </c>
      <c r="F40" s="65">
        <v>0.8</v>
      </c>
      <c r="G40" s="65">
        <v>2.5</v>
      </c>
      <c r="H40" s="65">
        <v>4.02</v>
      </c>
      <c r="I40" s="88">
        <v>50</v>
      </c>
      <c r="J40" s="65">
        <v>40.61</v>
      </c>
      <c r="K40" s="65">
        <v>0.8</v>
      </c>
      <c r="L40" s="65">
        <v>2.5</v>
      </c>
      <c r="M40" s="65">
        <v>4.02</v>
      </c>
      <c r="N40" s="88">
        <v>50</v>
      </c>
      <c r="O40" s="65">
        <v>40.61</v>
      </c>
      <c r="P40" s="65">
        <v>0.8</v>
      </c>
      <c r="Q40" s="65">
        <v>2.5</v>
      </c>
      <c r="R40" s="65">
        <v>4.02</v>
      </c>
    </row>
    <row r="41" spans="1:18" ht="12" customHeight="1">
      <c r="A41" s="27" t="s">
        <v>204</v>
      </c>
      <c r="B41" s="27"/>
      <c r="C41" s="31" t="s">
        <v>257</v>
      </c>
      <c r="D41" s="91" t="s">
        <v>252</v>
      </c>
      <c r="E41" s="30">
        <v>0.82</v>
      </c>
      <c r="F41" s="30">
        <v>0</v>
      </c>
      <c r="G41" s="30">
        <v>0</v>
      </c>
      <c r="H41" s="30">
        <v>0.23</v>
      </c>
      <c r="I41" s="91" t="s">
        <v>294</v>
      </c>
      <c r="J41" s="30">
        <v>0.82</v>
      </c>
      <c r="K41" s="30">
        <v>0</v>
      </c>
      <c r="L41" s="30">
        <v>0</v>
      </c>
      <c r="M41" s="30">
        <v>0.23</v>
      </c>
      <c r="N41" s="91" t="s">
        <v>294</v>
      </c>
      <c r="O41" s="30">
        <v>0.82</v>
      </c>
      <c r="P41" s="30">
        <v>0</v>
      </c>
      <c r="Q41" s="30">
        <v>0</v>
      </c>
      <c r="R41" s="30">
        <v>0.23</v>
      </c>
    </row>
    <row r="42" spans="1:18" ht="23.25">
      <c r="A42" s="27" t="s">
        <v>235</v>
      </c>
      <c r="B42" s="27" t="s">
        <v>25</v>
      </c>
      <c r="C42" s="31" t="s">
        <v>26</v>
      </c>
      <c r="D42" s="92">
        <v>15</v>
      </c>
      <c r="E42" s="30">
        <v>54</v>
      </c>
      <c r="F42" s="30">
        <v>3.5</v>
      </c>
      <c r="G42" s="30">
        <v>4.4</v>
      </c>
      <c r="H42" s="30">
        <v>0</v>
      </c>
      <c r="I42" s="92">
        <v>15</v>
      </c>
      <c r="J42" s="30">
        <v>54</v>
      </c>
      <c r="K42" s="30">
        <v>3.5</v>
      </c>
      <c r="L42" s="30">
        <v>4.4</v>
      </c>
      <c r="M42" s="30">
        <v>0</v>
      </c>
      <c r="N42" s="92">
        <v>15</v>
      </c>
      <c r="O42" s="30">
        <v>54</v>
      </c>
      <c r="P42" s="30">
        <v>3.5</v>
      </c>
      <c r="Q42" s="30">
        <v>4.4</v>
      </c>
      <c r="R42" s="30">
        <v>0</v>
      </c>
    </row>
    <row r="43" spans="1:18" ht="23.25">
      <c r="A43" s="27" t="s">
        <v>235</v>
      </c>
      <c r="B43" s="32" t="s">
        <v>52</v>
      </c>
      <c r="C43" s="32" t="s">
        <v>137</v>
      </c>
      <c r="D43" s="89">
        <v>30</v>
      </c>
      <c r="E43" s="46">
        <v>89</v>
      </c>
      <c r="F43" s="36">
        <v>1.2</v>
      </c>
      <c r="G43" s="36">
        <v>2.6</v>
      </c>
      <c r="H43" s="36">
        <v>15</v>
      </c>
      <c r="I43" s="93">
        <v>50</v>
      </c>
      <c r="J43" s="46">
        <v>138</v>
      </c>
      <c r="K43" s="36">
        <v>2</v>
      </c>
      <c r="L43" s="36">
        <v>3.1</v>
      </c>
      <c r="M43" s="36">
        <v>25</v>
      </c>
      <c r="N43" s="93">
        <v>50</v>
      </c>
      <c r="O43" s="46">
        <v>138</v>
      </c>
      <c r="P43" s="36">
        <v>2</v>
      </c>
      <c r="Q43" s="36">
        <v>3.1</v>
      </c>
      <c r="R43" s="36">
        <v>25</v>
      </c>
    </row>
    <row r="44" spans="1:18" ht="15">
      <c r="A44" s="27" t="s">
        <v>205</v>
      </c>
      <c r="B44" s="28"/>
      <c r="C44" s="28" t="s">
        <v>273</v>
      </c>
      <c r="D44" s="86">
        <v>75</v>
      </c>
      <c r="E44" s="30">
        <v>71.3</v>
      </c>
      <c r="F44" s="30">
        <v>1.1</v>
      </c>
      <c r="G44" s="30">
        <v>0.2</v>
      </c>
      <c r="H44" s="30">
        <v>16.4</v>
      </c>
      <c r="I44" s="86">
        <v>75</v>
      </c>
      <c r="J44" s="30">
        <v>71.3</v>
      </c>
      <c r="K44" s="30">
        <v>1.1</v>
      </c>
      <c r="L44" s="30">
        <v>0.2</v>
      </c>
      <c r="M44" s="30">
        <v>16.4</v>
      </c>
      <c r="N44" s="86">
        <v>75</v>
      </c>
      <c r="O44" s="30">
        <v>71.3</v>
      </c>
      <c r="P44" s="30">
        <v>1.1</v>
      </c>
      <c r="Q44" s="30">
        <v>0.2</v>
      </c>
      <c r="R44" s="30">
        <v>16.4</v>
      </c>
    </row>
    <row r="45" spans="1:18" ht="15">
      <c r="A45" s="138" t="s">
        <v>27</v>
      </c>
      <c r="B45" s="138"/>
      <c r="C45" s="154"/>
      <c r="D45" s="141"/>
      <c r="E45" s="141">
        <f>SUM(E37:E44)</f>
        <v>626.22</v>
      </c>
      <c r="F45" s="141">
        <f>SUM(F37:F44)</f>
        <v>28.5</v>
      </c>
      <c r="G45" s="141">
        <f>SUM(G37:G44)</f>
        <v>21.180000000000003</v>
      </c>
      <c r="H45" s="141">
        <f>SUM(H37:H44)</f>
        <v>61.27</v>
      </c>
      <c r="I45" s="141"/>
      <c r="J45" s="141">
        <f>SUM(J37:J44)</f>
        <v>764.3299999999999</v>
      </c>
      <c r="K45" s="141">
        <f>SUM(K37:K44)</f>
        <v>37.4</v>
      </c>
      <c r="L45" s="141">
        <f>SUM(L37:L44)</f>
        <v>25.000000000000004</v>
      </c>
      <c r="M45" s="141">
        <f>SUM(M37:M44)</f>
        <v>77.57</v>
      </c>
      <c r="N45" s="140"/>
      <c r="O45" s="141">
        <f>SUM(O37:O44)</f>
        <v>798.63</v>
      </c>
      <c r="P45" s="141">
        <f>SUM(P37:P44)</f>
        <v>38.50000000000001</v>
      </c>
      <c r="Q45" s="141">
        <f>SUM(Q37:Q44)</f>
        <v>25.7</v>
      </c>
      <c r="R45" s="141">
        <f>SUM(R37:R44)</f>
        <v>104.05000000000001</v>
      </c>
    </row>
    <row r="46" spans="1:18" ht="15">
      <c r="A46" s="155" t="s">
        <v>28</v>
      </c>
      <c r="B46" s="155"/>
      <c r="C46" s="155" t="s">
        <v>29</v>
      </c>
      <c r="D46" s="156"/>
      <c r="E46" s="156"/>
      <c r="F46" s="156"/>
      <c r="G46" s="156"/>
      <c r="H46" s="156"/>
      <c r="I46" s="157"/>
      <c r="J46" s="156"/>
      <c r="K46" s="156"/>
      <c r="L46" s="156"/>
      <c r="M46" s="156"/>
      <c r="N46" s="158"/>
      <c r="O46" s="156"/>
      <c r="P46" s="156"/>
      <c r="Q46" s="156"/>
      <c r="R46" s="156"/>
    </row>
    <row r="47" spans="1:18" ht="24" customHeight="1">
      <c r="A47" s="27" t="s">
        <v>283</v>
      </c>
      <c r="B47" s="55" t="s">
        <v>306</v>
      </c>
      <c r="C47" s="236" t="s">
        <v>261</v>
      </c>
      <c r="D47" s="203">
        <v>200</v>
      </c>
      <c r="E47" s="204">
        <v>97</v>
      </c>
      <c r="F47" s="238">
        <v>2.03</v>
      </c>
      <c r="G47" s="204">
        <v>2</v>
      </c>
      <c r="H47" s="204">
        <v>17.3</v>
      </c>
      <c r="I47" s="203">
        <v>250</v>
      </c>
      <c r="J47" s="204">
        <v>121</v>
      </c>
      <c r="K47" s="238">
        <v>2.9</v>
      </c>
      <c r="L47" s="204">
        <v>2.5</v>
      </c>
      <c r="M47" s="204">
        <v>21.6</v>
      </c>
      <c r="N47" s="203">
        <v>250</v>
      </c>
      <c r="O47" s="204">
        <v>121</v>
      </c>
      <c r="P47" s="238">
        <v>2.9</v>
      </c>
      <c r="Q47" s="204">
        <v>2.5</v>
      </c>
      <c r="R47" s="204">
        <v>21.6</v>
      </c>
    </row>
    <row r="48" spans="1:18" ht="27" customHeight="1">
      <c r="A48" s="27" t="s">
        <v>198</v>
      </c>
      <c r="B48" s="55" t="s">
        <v>156</v>
      </c>
      <c r="C48" s="72" t="s">
        <v>290</v>
      </c>
      <c r="D48" s="103">
        <v>120</v>
      </c>
      <c r="E48" s="73">
        <v>143.3</v>
      </c>
      <c r="F48" s="74">
        <v>4.8</v>
      </c>
      <c r="G48" s="74">
        <v>2.4</v>
      </c>
      <c r="H48" s="74">
        <v>25.2</v>
      </c>
      <c r="I48" s="103">
        <v>120</v>
      </c>
      <c r="J48" s="73">
        <v>143.3</v>
      </c>
      <c r="K48" s="74">
        <v>4.8</v>
      </c>
      <c r="L48" s="74">
        <v>2.4</v>
      </c>
      <c r="M48" s="74">
        <v>25.2</v>
      </c>
      <c r="N48" s="103">
        <v>150</v>
      </c>
      <c r="O48" s="73">
        <v>179.1</v>
      </c>
      <c r="P48" s="74">
        <v>6</v>
      </c>
      <c r="Q48" s="74">
        <v>3</v>
      </c>
      <c r="R48" s="74">
        <v>31.5</v>
      </c>
    </row>
    <row r="49" spans="1:18" ht="22.5">
      <c r="A49" s="81" t="s">
        <v>195</v>
      </c>
      <c r="B49" s="82" t="s">
        <v>30</v>
      </c>
      <c r="C49" s="83" t="s">
        <v>144</v>
      </c>
      <c r="D49" s="102">
        <v>70</v>
      </c>
      <c r="E49" s="213">
        <v>148</v>
      </c>
      <c r="F49" s="85">
        <v>13.1</v>
      </c>
      <c r="G49" s="85">
        <v>6.9</v>
      </c>
      <c r="H49" s="85">
        <v>11.3</v>
      </c>
      <c r="I49" s="219">
        <v>100</v>
      </c>
      <c r="J49" s="213">
        <v>212</v>
      </c>
      <c r="K49" s="85">
        <v>18.7</v>
      </c>
      <c r="L49" s="85">
        <v>9.9</v>
      </c>
      <c r="M49" s="85">
        <v>16.2</v>
      </c>
      <c r="N49" s="219">
        <v>100</v>
      </c>
      <c r="O49" s="213">
        <v>212</v>
      </c>
      <c r="P49" s="85">
        <v>18.7</v>
      </c>
      <c r="Q49" s="85">
        <v>9.9</v>
      </c>
      <c r="R49" s="85">
        <v>16.2</v>
      </c>
    </row>
    <row r="50" spans="1:18" ht="21" customHeight="1">
      <c r="A50" s="27" t="s">
        <v>202</v>
      </c>
      <c r="B50" s="243" t="s">
        <v>48</v>
      </c>
      <c r="C50" s="236" t="s">
        <v>251</v>
      </c>
      <c r="D50" s="237">
        <v>50</v>
      </c>
      <c r="E50" s="238">
        <v>41.4</v>
      </c>
      <c r="F50" s="238">
        <v>0.9</v>
      </c>
      <c r="G50" s="238">
        <v>1.1</v>
      </c>
      <c r="H50" s="238">
        <v>7.1</v>
      </c>
      <c r="I50" s="237">
        <v>50</v>
      </c>
      <c r="J50" s="238">
        <v>41.4</v>
      </c>
      <c r="K50" s="238">
        <v>0.9</v>
      </c>
      <c r="L50" s="238">
        <v>1.1</v>
      </c>
      <c r="M50" s="238">
        <v>7.1</v>
      </c>
      <c r="N50" s="237">
        <v>100</v>
      </c>
      <c r="O50" s="238">
        <v>82.83</v>
      </c>
      <c r="P50" s="238">
        <v>1.77</v>
      </c>
      <c r="Q50" s="238">
        <v>2.21</v>
      </c>
      <c r="R50" s="238">
        <v>14.15</v>
      </c>
    </row>
    <row r="51" spans="1:18" ht="15">
      <c r="A51" s="27" t="s">
        <v>205</v>
      </c>
      <c r="B51" s="28"/>
      <c r="C51" s="28" t="s">
        <v>273</v>
      </c>
      <c r="D51" s="86">
        <v>75</v>
      </c>
      <c r="E51" s="30">
        <v>71.3</v>
      </c>
      <c r="F51" s="30">
        <v>1.1</v>
      </c>
      <c r="G51" s="30">
        <v>0.2</v>
      </c>
      <c r="H51" s="30">
        <v>16.4</v>
      </c>
      <c r="I51" s="86">
        <v>75</v>
      </c>
      <c r="J51" s="30">
        <v>71.3</v>
      </c>
      <c r="K51" s="30">
        <v>1.1</v>
      </c>
      <c r="L51" s="30">
        <v>0.2</v>
      </c>
      <c r="M51" s="30">
        <v>16.4</v>
      </c>
      <c r="N51" s="86">
        <v>75</v>
      </c>
      <c r="O51" s="30">
        <v>71.3</v>
      </c>
      <c r="P51" s="30">
        <v>1.1</v>
      </c>
      <c r="Q51" s="30">
        <v>0.2</v>
      </c>
      <c r="R51" s="30">
        <v>16.4</v>
      </c>
    </row>
    <row r="52" spans="1:18" ht="23.25">
      <c r="A52" s="27" t="s">
        <v>235</v>
      </c>
      <c r="B52" s="41"/>
      <c r="C52" s="42" t="s">
        <v>194</v>
      </c>
      <c r="D52" s="97">
        <v>200</v>
      </c>
      <c r="E52" s="43">
        <v>132</v>
      </c>
      <c r="F52" s="43">
        <v>0</v>
      </c>
      <c r="G52" s="43">
        <v>0</v>
      </c>
      <c r="H52" s="43">
        <v>32</v>
      </c>
      <c r="I52" s="97">
        <v>200</v>
      </c>
      <c r="J52" s="43">
        <v>132</v>
      </c>
      <c r="K52" s="43">
        <v>0</v>
      </c>
      <c r="L52" s="43">
        <v>0</v>
      </c>
      <c r="M52" s="43">
        <v>32</v>
      </c>
      <c r="N52" s="97">
        <v>200</v>
      </c>
      <c r="O52" s="43">
        <v>132</v>
      </c>
      <c r="P52" s="43">
        <v>0</v>
      </c>
      <c r="Q52" s="43">
        <v>0</v>
      </c>
      <c r="R52" s="43">
        <v>32</v>
      </c>
    </row>
    <row r="53" spans="1:18" ht="15">
      <c r="A53" s="251" t="s">
        <v>27</v>
      </c>
      <c r="B53" s="251"/>
      <c r="C53" s="251"/>
      <c r="D53" s="141"/>
      <c r="E53" s="141">
        <f>SUM(E47:E52)</f>
        <v>633</v>
      </c>
      <c r="F53" s="141">
        <f>SUM(F47:F52)</f>
        <v>21.93</v>
      </c>
      <c r="G53" s="141">
        <f>SUM(G47:G52)</f>
        <v>12.6</v>
      </c>
      <c r="H53" s="141">
        <f>SUM(H47:H52)</f>
        <v>109.3</v>
      </c>
      <c r="I53" s="141"/>
      <c r="J53" s="141">
        <f>SUM(J47:J52)</f>
        <v>721</v>
      </c>
      <c r="K53" s="141">
        <f>SUM(K47:K52)</f>
        <v>28.4</v>
      </c>
      <c r="L53" s="141">
        <f>SUM(L47:L52)</f>
        <v>16.1</v>
      </c>
      <c r="M53" s="141">
        <f>SUM(M47:M52)</f>
        <v>118.5</v>
      </c>
      <c r="N53" s="140"/>
      <c r="O53" s="141">
        <f>SUM(O47:O52)</f>
        <v>798.23</v>
      </c>
      <c r="P53" s="141">
        <f>SUM(P47:P52)</f>
        <v>30.470000000000002</v>
      </c>
      <c r="Q53" s="141">
        <f>SUM(Q47:Q52)</f>
        <v>17.81</v>
      </c>
      <c r="R53" s="141">
        <f>SUM(R47:R52)</f>
        <v>131.85</v>
      </c>
    </row>
    <row r="54" spans="1:18" ht="15">
      <c r="A54" s="155" t="s">
        <v>31</v>
      </c>
      <c r="B54" s="155"/>
      <c r="C54" s="155" t="s">
        <v>32</v>
      </c>
      <c r="D54" s="156"/>
      <c r="E54" s="156"/>
      <c r="F54" s="156"/>
      <c r="G54" s="156"/>
      <c r="H54" s="156"/>
      <c r="I54" s="157"/>
      <c r="J54" s="156"/>
      <c r="K54" s="156"/>
      <c r="L54" s="156"/>
      <c r="M54" s="156"/>
      <c r="N54" s="158"/>
      <c r="O54" s="156"/>
      <c r="P54" s="156"/>
      <c r="Q54" s="156"/>
      <c r="R54" s="156"/>
    </row>
    <row r="55" spans="1:18" ht="24" customHeight="1">
      <c r="A55" s="27" t="s">
        <v>282</v>
      </c>
      <c r="B55" s="27"/>
      <c r="C55" s="236" t="s">
        <v>304</v>
      </c>
      <c r="D55" s="237">
        <v>200</v>
      </c>
      <c r="E55" s="238">
        <v>81</v>
      </c>
      <c r="F55" s="238">
        <v>2</v>
      </c>
      <c r="G55" s="238">
        <v>2.1</v>
      </c>
      <c r="H55" s="238">
        <v>13.4</v>
      </c>
      <c r="I55" s="237">
        <v>250</v>
      </c>
      <c r="J55" s="238">
        <v>102</v>
      </c>
      <c r="K55" s="238">
        <v>2.5</v>
      </c>
      <c r="L55" s="238">
        <v>2.6</v>
      </c>
      <c r="M55" s="238">
        <v>16.8</v>
      </c>
      <c r="N55" s="237">
        <v>250</v>
      </c>
      <c r="O55" s="238">
        <v>102</v>
      </c>
      <c r="P55" s="238">
        <v>2.5</v>
      </c>
      <c r="Q55" s="238">
        <v>2.6</v>
      </c>
      <c r="R55" s="238">
        <v>16.8</v>
      </c>
    </row>
    <row r="56" spans="1:18" ht="23.25" customHeight="1">
      <c r="A56" s="27" t="s">
        <v>235</v>
      </c>
      <c r="B56" s="32" t="s">
        <v>52</v>
      </c>
      <c r="C56" s="207" t="s">
        <v>274</v>
      </c>
      <c r="D56" s="89">
        <v>30</v>
      </c>
      <c r="E56" s="46">
        <v>89</v>
      </c>
      <c r="F56" s="36">
        <v>1.2</v>
      </c>
      <c r="G56" s="36">
        <v>2.6</v>
      </c>
      <c r="H56" s="36">
        <v>15</v>
      </c>
      <c r="I56" s="93">
        <v>50</v>
      </c>
      <c r="J56" s="46">
        <v>138</v>
      </c>
      <c r="K56" s="36">
        <v>2</v>
      </c>
      <c r="L56" s="36">
        <v>3.1</v>
      </c>
      <c r="M56" s="36">
        <v>25</v>
      </c>
      <c r="N56" s="93">
        <v>50</v>
      </c>
      <c r="O56" s="46">
        <v>138</v>
      </c>
      <c r="P56" s="36">
        <v>2</v>
      </c>
      <c r="Q56" s="36">
        <v>3.1</v>
      </c>
      <c r="R56" s="36">
        <v>25</v>
      </c>
    </row>
    <row r="57" spans="1:18" ht="29.25" customHeight="1">
      <c r="A57" s="27" t="s">
        <v>215</v>
      </c>
      <c r="B57" s="71" t="s">
        <v>159</v>
      </c>
      <c r="C57" s="68" t="s">
        <v>269</v>
      </c>
      <c r="D57" s="101">
        <v>100</v>
      </c>
      <c r="E57" s="70">
        <v>182.6</v>
      </c>
      <c r="F57" s="69">
        <v>12.54</v>
      </c>
      <c r="G57" s="69">
        <v>8.18</v>
      </c>
      <c r="H57" s="69">
        <v>14.25</v>
      </c>
      <c r="I57" s="101">
        <v>180</v>
      </c>
      <c r="J57" s="70">
        <v>328.68</v>
      </c>
      <c r="K57" s="69">
        <v>22.57</v>
      </c>
      <c r="L57" s="69">
        <v>14.72</v>
      </c>
      <c r="M57" s="69">
        <v>25.62</v>
      </c>
      <c r="N57" s="101">
        <v>180</v>
      </c>
      <c r="O57" s="70">
        <v>328.68</v>
      </c>
      <c r="P57" s="69">
        <v>22.57</v>
      </c>
      <c r="Q57" s="69">
        <v>14.72</v>
      </c>
      <c r="R57" s="69">
        <v>25.62</v>
      </c>
    </row>
    <row r="58" spans="1:18" ht="19.5" customHeight="1">
      <c r="A58" s="27" t="s">
        <v>214</v>
      </c>
      <c r="B58" s="64" t="s">
        <v>33</v>
      </c>
      <c r="C58" s="64" t="s">
        <v>160</v>
      </c>
      <c r="D58" s="95">
        <v>200</v>
      </c>
      <c r="E58" s="75">
        <v>112.48</v>
      </c>
      <c r="F58" s="76">
        <v>6.11</v>
      </c>
      <c r="G58" s="76">
        <v>5.5</v>
      </c>
      <c r="H58" s="76">
        <v>9.85</v>
      </c>
      <c r="I58" s="95">
        <v>200</v>
      </c>
      <c r="J58" s="75">
        <v>112.48</v>
      </c>
      <c r="K58" s="76">
        <v>6.11</v>
      </c>
      <c r="L58" s="76">
        <v>5.5</v>
      </c>
      <c r="M58" s="76">
        <v>9.85</v>
      </c>
      <c r="N58" s="95">
        <v>200</v>
      </c>
      <c r="O58" s="75">
        <v>112.48</v>
      </c>
      <c r="P58" s="76">
        <v>6.11</v>
      </c>
      <c r="Q58" s="76">
        <v>5.5</v>
      </c>
      <c r="R58" s="76">
        <v>9.85</v>
      </c>
    </row>
    <row r="59" spans="1:18" ht="15">
      <c r="A59" s="27" t="s">
        <v>205</v>
      </c>
      <c r="B59" s="28"/>
      <c r="C59" s="28" t="s">
        <v>273</v>
      </c>
      <c r="D59" s="86">
        <v>75</v>
      </c>
      <c r="E59" s="30">
        <v>71.3</v>
      </c>
      <c r="F59" s="30">
        <v>1.1</v>
      </c>
      <c r="G59" s="30">
        <v>0.2</v>
      </c>
      <c r="H59" s="30">
        <v>16.4</v>
      </c>
      <c r="I59" s="86">
        <v>75</v>
      </c>
      <c r="J59" s="30">
        <v>71.3</v>
      </c>
      <c r="K59" s="30">
        <v>1.1</v>
      </c>
      <c r="L59" s="30">
        <v>0.2</v>
      </c>
      <c r="M59" s="30">
        <v>16.4</v>
      </c>
      <c r="N59" s="86">
        <v>75</v>
      </c>
      <c r="O59" s="30">
        <v>71.3</v>
      </c>
      <c r="P59" s="30">
        <v>1.1</v>
      </c>
      <c r="Q59" s="30">
        <v>0.2</v>
      </c>
      <c r="R59" s="30">
        <v>16.4</v>
      </c>
    </row>
    <row r="60" spans="1:18" ht="15" customHeight="1">
      <c r="A60" s="251" t="s">
        <v>27</v>
      </c>
      <c r="B60" s="251"/>
      <c r="C60" s="251"/>
      <c r="D60" s="146"/>
      <c r="E60" s="146">
        <f>SUM(E55:E59)</f>
        <v>536.38</v>
      </c>
      <c r="F60" s="146">
        <f>SUM(F55:F59)</f>
        <v>22.95</v>
      </c>
      <c r="G60" s="146">
        <f>SUM(G55:G59)</f>
        <v>18.58</v>
      </c>
      <c r="H60" s="146">
        <f>SUM(H55:H59)</f>
        <v>68.9</v>
      </c>
      <c r="I60" s="146"/>
      <c r="J60" s="146">
        <f>SUM(J55:J59)</f>
        <v>752.46</v>
      </c>
      <c r="K60" s="146">
        <f>SUM(K55:K59)</f>
        <v>34.28</v>
      </c>
      <c r="L60" s="146">
        <f>SUM(L55:L59)</f>
        <v>26.12</v>
      </c>
      <c r="M60" s="146">
        <f>SUM(M55:M59)</f>
        <v>93.66999999999999</v>
      </c>
      <c r="N60" s="144"/>
      <c r="O60" s="146">
        <f>SUM(O55:O59)</f>
        <v>752.46</v>
      </c>
      <c r="P60" s="146">
        <f>SUM(P55:P59)</f>
        <v>34.28</v>
      </c>
      <c r="Q60" s="146">
        <f>SUM(Q55:Q59)</f>
        <v>26.12</v>
      </c>
      <c r="R60" s="146">
        <f>SUM(R55:R59)</f>
        <v>93.66999999999999</v>
      </c>
    </row>
    <row r="61" spans="1:18" ht="15">
      <c r="A61" s="254" t="s">
        <v>34</v>
      </c>
      <c r="B61" s="254"/>
      <c r="C61" s="254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60"/>
      <c r="O61" s="159"/>
      <c r="P61" s="159"/>
      <c r="Q61" s="159"/>
      <c r="R61" s="159"/>
    </row>
    <row r="62" spans="1:18" ht="24" customHeight="1">
      <c r="A62" s="27" t="s">
        <v>190</v>
      </c>
      <c r="B62" s="48" t="s">
        <v>48</v>
      </c>
      <c r="C62" s="33" t="s">
        <v>272</v>
      </c>
      <c r="D62" s="90">
        <v>200</v>
      </c>
      <c r="E62" s="46">
        <v>129.1</v>
      </c>
      <c r="F62" s="36">
        <v>2.3</v>
      </c>
      <c r="G62" s="36">
        <v>4.4</v>
      </c>
      <c r="H62" s="36">
        <v>20.6</v>
      </c>
      <c r="I62" s="90">
        <v>250</v>
      </c>
      <c r="J62" s="46">
        <v>161.4</v>
      </c>
      <c r="K62" s="36">
        <v>2.9</v>
      </c>
      <c r="L62" s="36">
        <v>5.6</v>
      </c>
      <c r="M62" s="36">
        <v>25.8</v>
      </c>
      <c r="N62" s="90">
        <v>250</v>
      </c>
      <c r="O62" s="46">
        <v>161.4</v>
      </c>
      <c r="P62" s="36">
        <v>2.9</v>
      </c>
      <c r="Q62" s="36">
        <v>5.6</v>
      </c>
      <c r="R62" s="36">
        <v>25.8</v>
      </c>
    </row>
    <row r="63" spans="1:18" ht="16.5" customHeight="1">
      <c r="A63" s="27" t="s">
        <v>254</v>
      </c>
      <c r="B63" s="28"/>
      <c r="C63" s="166" t="s">
        <v>249</v>
      </c>
      <c r="D63" s="167">
        <v>120</v>
      </c>
      <c r="E63" s="168">
        <v>160.6</v>
      </c>
      <c r="F63" s="168">
        <v>3.5</v>
      </c>
      <c r="G63" s="168">
        <v>4.4</v>
      </c>
      <c r="H63" s="168">
        <v>26.5</v>
      </c>
      <c r="I63" s="167">
        <v>120</v>
      </c>
      <c r="J63" s="168">
        <v>160.6</v>
      </c>
      <c r="K63" s="168">
        <v>3.5</v>
      </c>
      <c r="L63" s="168">
        <v>4.4</v>
      </c>
      <c r="M63" s="168">
        <v>26.5</v>
      </c>
      <c r="N63" s="87">
        <v>150</v>
      </c>
      <c r="O63" s="63">
        <v>200.7</v>
      </c>
      <c r="P63" s="63">
        <v>4.4</v>
      </c>
      <c r="Q63" s="63">
        <v>5.4</v>
      </c>
      <c r="R63" s="63">
        <v>33.1</v>
      </c>
    </row>
    <row r="64" spans="1:18" ht="15">
      <c r="A64" s="27" t="s">
        <v>212</v>
      </c>
      <c r="B64" s="47" t="s">
        <v>35</v>
      </c>
      <c r="C64" s="47" t="s">
        <v>63</v>
      </c>
      <c r="D64" s="99">
        <v>70</v>
      </c>
      <c r="E64" s="50">
        <v>126.8</v>
      </c>
      <c r="F64" s="50">
        <v>11.8</v>
      </c>
      <c r="G64" s="50">
        <v>2.5</v>
      </c>
      <c r="H64" s="50">
        <v>15</v>
      </c>
      <c r="I64" s="99">
        <v>70</v>
      </c>
      <c r="J64" s="50">
        <v>126.8</v>
      </c>
      <c r="K64" s="50">
        <v>11.8</v>
      </c>
      <c r="L64" s="50">
        <v>2.5</v>
      </c>
      <c r="M64" s="50">
        <v>15</v>
      </c>
      <c r="N64" s="99">
        <v>70</v>
      </c>
      <c r="O64" s="50">
        <v>126.8</v>
      </c>
      <c r="P64" s="50">
        <v>11.8</v>
      </c>
      <c r="Q64" s="50">
        <v>2.5</v>
      </c>
      <c r="R64" s="50">
        <v>15</v>
      </c>
    </row>
    <row r="65" spans="1:18" ht="21.75" customHeight="1">
      <c r="A65" s="81" t="s">
        <v>277</v>
      </c>
      <c r="B65" s="202"/>
      <c r="C65" s="166" t="s">
        <v>258</v>
      </c>
      <c r="D65" s="203">
        <v>75</v>
      </c>
      <c r="E65" s="204">
        <v>47.4</v>
      </c>
      <c r="F65" s="204">
        <v>0.8</v>
      </c>
      <c r="G65" s="204">
        <v>2.4</v>
      </c>
      <c r="H65" s="204">
        <v>5.6</v>
      </c>
      <c r="I65" s="203">
        <v>75</v>
      </c>
      <c r="J65" s="204">
        <v>47.4</v>
      </c>
      <c r="K65" s="204">
        <v>0.8</v>
      </c>
      <c r="L65" s="204">
        <v>2.4</v>
      </c>
      <c r="M65" s="204">
        <v>5.6</v>
      </c>
      <c r="N65" s="203">
        <v>100</v>
      </c>
      <c r="O65" s="204">
        <v>63.14</v>
      </c>
      <c r="P65" s="204">
        <v>1.03</v>
      </c>
      <c r="Q65" s="204">
        <v>3.21</v>
      </c>
      <c r="R65" s="204">
        <v>7.51</v>
      </c>
    </row>
    <row r="66" spans="1:18" ht="33.75" customHeight="1">
      <c r="A66" s="27" t="s">
        <v>315</v>
      </c>
      <c r="B66" s="27"/>
      <c r="C66" s="31" t="s">
        <v>295</v>
      </c>
      <c r="D66" s="91">
        <v>180</v>
      </c>
      <c r="E66" s="29">
        <v>38</v>
      </c>
      <c r="F66" s="29">
        <v>0.1</v>
      </c>
      <c r="G66" s="29">
        <v>0</v>
      </c>
      <c r="H66" s="29">
        <v>0.5</v>
      </c>
      <c r="I66" s="91">
        <v>180</v>
      </c>
      <c r="J66" s="29">
        <v>38</v>
      </c>
      <c r="K66" s="29">
        <v>0.1</v>
      </c>
      <c r="L66" s="29">
        <v>0</v>
      </c>
      <c r="M66" s="29">
        <v>0.5</v>
      </c>
      <c r="N66" s="91">
        <v>180</v>
      </c>
      <c r="O66" s="29">
        <v>38</v>
      </c>
      <c r="P66" s="29">
        <v>0.1</v>
      </c>
      <c r="Q66" s="29">
        <v>0</v>
      </c>
      <c r="R66" s="29">
        <v>0.5</v>
      </c>
    </row>
    <row r="67" spans="1:18" ht="24" customHeight="1">
      <c r="A67" s="27" t="s">
        <v>205</v>
      </c>
      <c r="B67" s="28"/>
      <c r="C67" s="28" t="s">
        <v>273</v>
      </c>
      <c r="D67" s="86">
        <v>75</v>
      </c>
      <c r="E67" s="30">
        <v>71.3</v>
      </c>
      <c r="F67" s="30">
        <v>1.1</v>
      </c>
      <c r="G67" s="30">
        <v>0.2</v>
      </c>
      <c r="H67" s="30">
        <v>16.4</v>
      </c>
      <c r="I67" s="86">
        <v>75</v>
      </c>
      <c r="J67" s="30">
        <v>71.3</v>
      </c>
      <c r="K67" s="30">
        <v>1.1</v>
      </c>
      <c r="L67" s="30">
        <v>0.2</v>
      </c>
      <c r="M67" s="30">
        <v>16.4</v>
      </c>
      <c r="N67" s="86">
        <v>75</v>
      </c>
      <c r="O67" s="30">
        <v>71.3</v>
      </c>
      <c r="P67" s="30">
        <v>1.1</v>
      </c>
      <c r="Q67" s="30">
        <v>0.2</v>
      </c>
      <c r="R67" s="30">
        <v>16.4</v>
      </c>
    </row>
    <row r="68" spans="1:18" ht="15">
      <c r="A68" s="251" t="s">
        <v>27</v>
      </c>
      <c r="B68" s="251"/>
      <c r="C68" s="251"/>
      <c r="D68" s="141"/>
      <c r="E68" s="141">
        <f>SUM(E62:E67)</f>
        <v>573.1999999999999</v>
      </c>
      <c r="F68" s="141">
        <f>SUM(F62:F67)</f>
        <v>19.600000000000005</v>
      </c>
      <c r="G68" s="141">
        <f>SUM(G62:G67)</f>
        <v>13.9</v>
      </c>
      <c r="H68" s="141">
        <f>SUM(H62:H67)</f>
        <v>84.6</v>
      </c>
      <c r="I68" s="141"/>
      <c r="J68" s="141">
        <f>SUM(J62:J67)</f>
        <v>605.5</v>
      </c>
      <c r="K68" s="141">
        <f>SUM(K61:K67)</f>
        <v>20.200000000000006</v>
      </c>
      <c r="L68" s="141">
        <f>SUM(L61:L67)</f>
        <v>15.1</v>
      </c>
      <c r="M68" s="141">
        <f>SUM(M61:M67)</f>
        <v>89.79999999999998</v>
      </c>
      <c r="N68" s="140"/>
      <c r="O68" s="141">
        <f>SUM(O61:O67)</f>
        <v>661.34</v>
      </c>
      <c r="P68" s="141">
        <f>SUM(P61:P67)</f>
        <v>21.330000000000005</v>
      </c>
      <c r="Q68" s="141">
        <f>SUM(Q61:Q67)</f>
        <v>16.91</v>
      </c>
      <c r="R68" s="141">
        <f>SUM(R61:R67)</f>
        <v>98.31</v>
      </c>
    </row>
    <row r="69" spans="1:18" ht="15">
      <c r="A69" s="155" t="s">
        <v>36</v>
      </c>
      <c r="B69" s="155"/>
      <c r="C69" s="155" t="s">
        <v>37</v>
      </c>
      <c r="D69" s="156"/>
      <c r="E69" s="156"/>
      <c r="F69" s="156"/>
      <c r="G69" s="156"/>
      <c r="H69" s="156"/>
      <c r="I69" s="157"/>
      <c r="J69" s="156"/>
      <c r="K69" s="156"/>
      <c r="L69" s="156"/>
      <c r="M69" s="156"/>
      <c r="N69" s="158"/>
      <c r="O69" s="156"/>
      <c r="P69" s="156"/>
      <c r="Q69" s="156"/>
      <c r="R69" s="156"/>
    </row>
    <row r="70" spans="1:18" ht="22.5" customHeight="1">
      <c r="A70" s="27" t="s">
        <v>188</v>
      </c>
      <c r="B70" s="28"/>
      <c r="C70" s="31" t="s">
        <v>138</v>
      </c>
      <c r="D70" s="86">
        <v>250</v>
      </c>
      <c r="E70" s="30">
        <v>134.5</v>
      </c>
      <c r="F70" s="30">
        <v>5.5</v>
      </c>
      <c r="G70" s="30">
        <v>2.5</v>
      </c>
      <c r="H70" s="30">
        <v>19.2</v>
      </c>
      <c r="I70" s="86">
        <v>250</v>
      </c>
      <c r="J70" s="30">
        <v>134.5</v>
      </c>
      <c r="K70" s="30">
        <v>5.5</v>
      </c>
      <c r="L70" s="30">
        <v>2.5</v>
      </c>
      <c r="M70" s="30">
        <v>19.2</v>
      </c>
      <c r="N70" s="86">
        <v>250</v>
      </c>
      <c r="O70" s="30">
        <v>134.5</v>
      </c>
      <c r="P70" s="30">
        <v>5.5</v>
      </c>
      <c r="Q70" s="30">
        <v>2.5</v>
      </c>
      <c r="R70" s="30">
        <v>19.2</v>
      </c>
    </row>
    <row r="71" spans="1:18" ht="12.75" customHeight="1">
      <c r="A71" s="27" t="s">
        <v>197</v>
      </c>
      <c r="B71" s="28" t="s">
        <v>25</v>
      </c>
      <c r="C71" s="31" t="s">
        <v>50</v>
      </c>
      <c r="D71" s="86">
        <v>100</v>
      </c>
      <c r="E71" s="30">
        <v>140</v>
      </c>
      <c r="F71" s="30">
        <v>3.7</v>
      </c>
      <c r="G71" s="30">
        <v>3.3</v>
      </c>
      <c r="H71" s="30">
        <v>23.7</v>
      </c>
      <c r="I71" s="86">
        <v>150</v>
      </c>
      <c r="J71" s="30">
        <v>210</v>
      </c>
      <c r="K71" s="30">
        <v>5.6</v>
      </c>
      <c r="L71" s="30">
        <v>5</v>
      </c>
      <c r="M71" s="30">
        <v>35.5</v>
      </c>
      <c r="N71" s="86">
        <v>150</v>
      </c>
      <c r="O71" s="30">
        <v>210</v>
      </c>
      <c r="P71" s="30">
        <v>5.6</v>
      </c>
      <c r="Q71" s="30">
        <v>5</v>
      </c>
      <c r="R71" s="30">
        <v>35.5</v>
      </c>
    </row>
    <row r="72" spans="1:18" ht="15" customHeight="1">
      <c r="A72" s="27" t="s">
        <v>213</v>
      </c>
      <c r="B72" s="28" t="s">
        <v>24</v>
      </c>
      <c r="C72" s="31" t="s">
        <v>172</v>
      </c>
      <c r="D72" s="86">
        <v>40</v>
      </c>
      <c r="E72" s="30">
        <v>63</v>
      </c>
      <c r="F72" s="30">
        <v>5.1</v>
      </c>
      <c r="G72" s="30">
        <v>4.6</v>
      </c>
      <c r="H72" s="30">
        <v>0.3</v>
      </c>
      <c r="I72" s="86">
        <v>40</v>
      </c>
      <c r="J72" s="30">
        <v>63</v>
      </c>
      <c r="K72" s="30">
        <v>5.1</v>
      </c>
      <c r="L72" s="30">
        <v>4.6</v>
      </c>
      <c r="M72" s="30">
        <v>0.3</v>
      </c>
      <c r="N72" s="86">
        <v>40</v>
      </c>
      <c r="O72" s="30">
        <v>63</v>
      </c>
      <c r="P72" s="30">
        <v>5.1</v>
      </c>
      <c r="Q72" s="30">
        <v>4.6</v>
      </c>
      <c r="R72" s="30">
        <v>0.3</v>
      </c>
    </row>
    <row r="73" spans="1:18" ht="25.5" customHeight="1">
      <c r="A73" s="27" t="s">
        <v>203</v>
      </c>
      <c r="B73" s="37" t="s">
        <v>152</v>
      </c>
      <c r="C73" s="37" t="s">
        <v>153</v>
      </c>
      <c r="D73" s="95">
        <v>50</v>
      </c>
      <c r="E73" s="58">
        <v>34</v>
      </c>
      <c r="F73" s="39" t="s">
        <v>154</v>
      </c>
      <c r="G73" s="39" t="s">
        <v>155</v>
      </c>
      <c r="H73" s="39" t="s">
        <v>271</v>
      </c>
      <c r="I73" s="95">
        <v>50</v>
      </c>
      <c r="J73" s="58">
        <v>34</v>
      </c>
      <c r="K73" s="39" t="s">
        <v>154</v>
      </c>
      <c r="L73" s="39" t="s">
        <v>155</v>
      </c>
      <c r="M73" s="39" t="s">
        <v>271</v>
      </c>
      <c r="N73" s="95">
        <v>75</v>
      </c>
      <c r="O73" s="58">
        <v>51</v>
      </c>
      <c r="P73" s="39">
        <v>1.5</v>
      </c>
      <c r="Q73" s="39">
        <v>2.7</v>
      </c>
      <c r="R73" s="39">
        <v>4.7</v>
      </c>
    </row>
    <row r="74" spans="1:18" ht="27" customHeight="1">
      <c r="A74" s="80" t="s">
        <v>235</v>
      </c>
      <c r="B74" s="68" t="s">
        <v>52</v>
      </c>
      <c r="C74" s="218" t="s">
        <v>274</v>
      </c>
      <c r="D74" s="100">
        <v>30</v>
      </c>
      <c r="E74" s="70">
        <v>68</v>
      </c>
      <c r="F74" s="69">
        <v>1.2</v>
      </c>
      <c r="G74" s="69">
        <v>0.2</v>
      </c>
      <c r="H74" s="69" t="s">
        <v>163</v>
      </c>
      <c r="I74" s="100">
        <v>50</v>
      </c>
      <c r="J74" s="70">
        <v>113</v>
      </c>
      <c r="K74" s="69" t="s">
        <v>164</v>
      </c>
      <c r="L74" s="69" t="s">
        <v>165</v>
      </c>
      <c r="M74" s="69" t="s">
        <v>166</v>
      </c>
      <c r="N74" s="100">
        <v>50</v>
      </c>
      <c r="O74" s="70">
        <v>113</v>
      </c>
      <c r="P74" s="69" t="s">
        <v>164</v>
      </c>
      <c r="Q74" s="69" t="s">
        <v>165</v>
      </c>
      <c r="R74" s="69" t="s">
        <v>166</v>
      </c>
    </row>
    <row r="75" spans="1:18" ht="15">
      <c r="A75" s="81" t="s">
        <v>216</v>
      </c>
      <c r="B75" s="82"/>
      <c r="C75" s="201" t="s">
        <v>260</v>
      </c>
      <c r="D75" s="102">
        <v>150</v>
      </c>
      <c r="E75" s="84">
        <v>80.8</v>
      </c>
      <c r="F75" s="85">
        <v>0.2</v>
      </c>
      <c r="G75" s="85">
        <v>0.7</v>
      </c>
      <c r="H75" s="85">
        <v>18.7</v>
      </c>
      <c r="I75" s="102">
        <v>200</v>
      </c>
      <c r="J75" s="84">
        <v>107.7</v>
      </c>
      <c r="K75" s="85">
        <v>0.3</v>
      </c>
      <c r="L75" s="85">
        <v>0.9</v>
      </c>
      <c r="M75" s="85">
        <v>24.9</v>
      </c>
      <c r="N75" s="102">
        <v>200</v>
      </c>
      <c r="O75" s="84">
        <v>107.7</v>
      </c>
      <c r="P75" s="85">
        <v>0.3</v>
      </c>
      <c r="Q75" s="85">
        <v>0.9</v>
      </c>
      <c r="R75" s="85">
        <v>24.9</v>
      </c>
    </row>
    <row r="76" spans="1:18" ht="15">
      <c r="A76" s="27" t="s">
        <v>205</v>
      </c>
      <c r="B76" s="28"/>
      <c r="C76" s="28" t="s">
        <v>273</v>
      </c>
      <c r="D76" s="86">
        <v>75</v>
      </c>
      <c r="E76" s="30">
        <v>71.3</v>
      </c>
      <c r="F76" s="30">
        <v>1.1</v>
      </c>
      <c r="G76" s="30">
        <v>0.2</v>
      </c>
      <c r="H76" s="30">
        <v>16.4</v>
      </c>
      <c r="I76" s="86">
        <v>75</v>
      </c>
      <c r="J76" s="30">
        <v>71.3</v>
      </c>
      <c r="K76" s="30">
        <v>1.1</v>
      </c>
      <c r="L76" s="30">
        <v>0.2</v>
      </c>
      <c r="M76" s="30">
        <v>16.4</v>
      </c>
      <c r="N76" s="86">
        <v>75</v>
      </c>
      <c r="O76" s="30">
        <v>71.3</v>
      </c>
      <c r="P76" s="30">
        <v>1.1</v>
      </c>
      <c r="Q76" s="30">
        <v>0.2</v>
      </c>
      <c r="R76" s="30">
        <v>16.4</v>
      </c>
    </row>
    <row r="77" spans="1:18" ht="15">
      <c r="A77" s="258" t="s">
        <v>27</v>
      </c>
      <c r="B77" s="259"/>
      <c r="C77" s="260"/>
      <c r="D77" s="152"/>
      <c r="E77" s="152">
        <f>SUM(E70:E76)</f>
        <v>591.5999999999999</v>
      </c>
      <c r="F77" s="152">
        <f>SUM(F70:F76)</f>
        <v>16.799999999999997</v>
      </c>
      <c r="G77" s="152">
        <f>SUM(G70:G76)</f>
        <v>11.499999999999996</v>
      </c>
      <c r="H77" s="152">
        <f>SUM(H70:H76)</f>
        <v>78.29999999999998</v>
      </c>
      <c r="I77" s="152"/>
      <c r="J77" s="152">
        <f>SUM(J70:J76)</f>
        <v>733.5</v>
      </c>
      <c r="K77" s="152">
        <f>SUM(K70:K76)</f>
        <v>17.6</v>
      </c>
      <c r="L77" s="152">
        <f>SUM(L70:L76)</f>
        <v>13.2</v>
      </c>
      <c r="M77" s="152">
        <f>SUM(M70:M76)</f>
        <v>96.30000000000001</v>
      </c>
      <c r="N77" s="153"/>
      <c r="O77" s="152">
        <f>SUM(O70:O76)</f>
        <v>750.5</v>
      </c>
      <c r="P77" s="152">
        <f>SUM(P70:P76)</f>
        <v>19.1</v>
      </c>
      <c r="Q77" s="152">
        <f>SUM(Q70:Q76)</f>
        <v>15.9</v>
      </c>
      <c r="R77" s="152">
        <f>SUM(R70:R76)</f>
        <v>101</v>
      </c>
    </row>
    <row r="78" spans="1:18" ht="32.25" customHeight="1">
      <c r="A78" s="248" t="s">
        <v>237</v>
      </c>
      <c r="B78" s="249"/>
      <c r="C78" s="250"/>
      <c r="D78" s="128"/>
      <c r="E78" s="128">
        <f>E45+E53+E60+E68+E77</f>
        <v>2960.3999999999996</v>
      </c>
      <c r="F78" s="128">
        <f>F45+F53+F60+F68+F77</f>
        <v>109.78</v>
      </c>
      <c r="G78" s="128">
        <f>G45+G53+G60+G68+G77</f>
        <v>77.76</v>
      </c>
      <c r="H78" s="128">
        <f>H45+H53+H60+H68+H77</f>
        <v>402.37</v>
      </c>
      <c r="I78" s="128"/>
      <c r="J78" s="128">
        <f>J45+J53+J60+J68+J77</f>
        <v>3576.79</v>
      </c>
      <c r="K78" s="128">
        <f>K45+K53+K60+K68+K77</f>
        <v>137.88</v>
      </c>
      <c r="L78" s="128">
        <f>L45+L53+L60+L68+L77</f>
        <v>95.52000000000001</v>
      </c>
      <c r="M78" s="128">
        <f>M45+M53+M60+M68+M77</f>
        <v>475.84</v>
      </c>
      <c r="N78" s="129"/>
      <c r="O78" s="128">
        <f>O45+O53+O60+O68+O77</f>
        <v>3761.1600000000003</v>
      </c>
      <c r="P78" s="128">
        <f>P45+P53+P60+P68+P77</f>
        <v>143.68</v>
      </c>
      <c r="Q78" s="128">
        <f>Q45+Q53+Q60+Q68+Q77</f>
        <v>102.44</v>
      </c>
      <c r="R78" s="128">
        <f>R45+R53+R60+R68+R77</f>
        <v>528.88</v>
      </c>
    </row>
    <row r="79" spans="1:18" ht="22.5" customHeight="1">
      <c r="A79" s="248" t="s">
        <v>238</v>
      </c>
      <c r="B79" s="249"/>
      <c r="C79" s="250"/>
      <c r="D79" s="128"/>
      <c r="E79" s="128">
        <f>E78/5</f>
        <v>592.0799999999999</v>
      </c>
      <c r="F79" s="128">
        <f>F78/5</f>
        <v>21.956</v>
      </c>
      <c r="G79" s="128">
        <f>G78/5</f>
        <v>15.552000000000001</v>
      </c>
      <c r="H79" s="128">
        <f>H78/5</f>
        <v>80.474</v>
      </c>
      <c r="I79" s="128"/>
      <c r="J79" s="128">
        <f>J78/5</f>
        <v>715.358</v>
      </c>
      <c r="K79" s="128">
        <f>K78/5</f>
        <v>27.576</v>
      </c>
      <c r="L79" s="128">
        <f>L78/5</f>
        <v>19.104000000000003</v>
      </c>
      <c r="M79" s="128">
        <f>M78/5</f>
        <v>95.16799999999999</v>
      </c>
      <c r="N79" s="129"/>
      <c r="O79" s="128">
        <f>O78/5</f>
        <v>752.2320000000001</v>
      </c>
      <c r="P79" s="128">
        <f>P78/5</f>
        <v>28.736</v>
      </c>
      <c r="Q79" s="128">
        <f>Q78/5</f>
        <v>20.488</v>
      </c>
      <c r="R79" s="128">
        <f>R78/5</f>
        <v>105.776</v>
      </c>
    </row>
    <row r="80" spans="1:18" ht="22.5" customHeight="1">
      <c r="A80" s="185"/>
      <c r="B80" s="181"/>
      <c r="C80" s="182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4"/>
      <c r="O80" s="183"/>
      <c r="P80" s="183"/>
      <c r="Q80" s="183"/>
      <c r="R80" s="183"/>
    </row>
    <row r="81" spans="1:18" ht="31.5">
      <c r="A81" s="133"/>
      <c r="B81" s="134"/>
      <c r="C81" s="131" t="s">
        <v>38</v>
      </c>
      <c r="D81" s="132"/>
      <c r="E81" s="132" t="s">
        <v>18</v>
      </c>
      <c r="F81" s="132" t="s">
        <v>19</v>
      </c>
      <c r="G81" s="132" t="s">
        <v>20</v>
      </c>
      <c r="H81" s="132" t="s">
        <v>21</v>
      </c>
      <c r="I81" s="132"/>
      <c r="J81" s="132" t="s">
        <v>18</v>
      </c>
      <c r="K81" s="132" t="s">
        <v>19</v>
      </c>
      <c r="L81" s="132" t="s">
        <v>20</v>
      </c>
      <c r="M81" s="132" t="s">
        <v>21</v>
      </c>
      <c r="N81" s="132"/>
      <c r="O81" s="132" t="s">
        <v>18</v>
      </c>
      <c r="P81" s="132" t="s">
        <v>19</v>
      </c>
      <c r="Q81" s="132" t="s">
        <v>20</v>
      </c>
      <c r="R81" s="132" t="s">
        <v>21</v>
      </c>
    </row>
    <row r="82" spans="1:18" ht="15">
      <c r="A82" s="155" t="s">
        <v>39</v>
      </c>
      <c r="B82" s="155"/>
      <c r="C82" s="161" t="s">
        <v>23</v>
      </c>
      <c r="D82" s="156"/>
      <c r="E82" s="156"/>
      <c r="F82" s="156"/>
      <c r="G82" s="156"/>
      <c r="H82" s="156"/>
      <c r="I82" s="157"/>
      <c r="J82" s="156"/>
      <c r="K82" s="156"/>
      <c r="L82" s="156"/>
      <c r="M82" s="156"/>
      <c r="N82" s="157"/>
      <c r="O82" s="156"/>
      <c r="P82" s="156"/>
      <c r="Q82" s="156"/>
      <c r="R82" s="156"/>
    </row>
    <row r="83" spans="1:18" ht="18" customHeight="1">
      <c r="A83" s="27" t="s">
        <v>191</v>
      </c>
      <c r="B83" s="28" t="s">
        <v>223</v>
      </c>
      <c r="C83" s="33" t="s">
        <v>145</v>
      </c>
      <c r="D83" s="94">
        <v>200</v>
      </c>
      <c r="E83" s="46">
        <v>106.4</v>
      </c>
      <c r="F83" s="36">
        <v>2.7</v>
      </c>
      <c r="G83" s="36">
        <v>1.9</v>
      </c>
      <c r="H83" s="36">
        <v>18.1</v>
      </c>
      <c r="I83" s="93">
        <v>250</v>
      </c>
      <c r="J83" s="46">
        <v>133</v>
      </c>
      <c r="K83" s="36">
        <v>3.4</v>
      </c>
      <c r="L83" s="36">
        <v>2.3</v>
      </c>
      <c r="M83" s="36">
        <v>22.7</v>
      </c>
      <c r="N83" s="93">
        <v>250</v>
      </c>
      <c r="O83" s="46">
        <v>133</v>
      </c>
      <c r="P83" s="36">
        <v>3.4</v>
      </c>
      <c r="Q83" s="36">
        <v>2.3</v>
      </c>
      <c r="R83" s="36">
        <v>22.7</v>
      </c>
    </row>
    <row r="84" spans="1:18" ht="18" customHeight="1">
      <c r="A84" s="27" t="s">
        <v>199</v>
      </c>
      <c r="B84" s="57" t="s">
        <v>232</v>
      </c>
      <c r="C84" s="66" t="s">
        <v>180</v>
      </c>
      <c r="D84" s="88">
        <v>120</v>
      </c>
      <c r="E84" s="65">
        <v>132</v>
      </c>
      <c r="F84" s="65">
        <v>3.7</v>
      </c>
      <c r="G84" s="65">
        <v>3.8</v>
      </c>
      <c r="H84" s="65">
        <v>22.3</v>
      </c>
      <c r="I84" s="88">
        <v>150</v>
      </c>
      <c r="J84" s="65">
        <v>165</v>
      </c>
      <c r="K84" s="65">
        <v>4.7</v>
      </c>
      <c r="L84" s="65">
        <v>4.8</v>
      </c>
      <c r="M84" s="65">
        <v>27.9</v>
      </c>
      <c r="N84" s="88">
        <v>150</v>
      </c>
      <c r="O84" s="65">
        <v>165</v>
      </c>
      <c r="P84" s="65">
        <v>4.7</v>
      </c>
      <c r="Q84" s="65">
        <v>4.8</v>
      </c>
      <c r="R84" s="65">
        <v>27.9</v>
      </c>
    </row>
    <row r="85" spans="1:18" ht="22.5" customHeight="1">
      <c r="A85" s="27" t="s">
        <v>208</v>
      </c>
      <c r="B85" s="48"/>
      <c r="C85" s="49" t="s">
        <v>259</v>
      </c>
      <c r="D85" s="96">
        <v>70</v>
      </c>
      <c r="E85" s="50">
        <v>110</v>
      </c>
      <c r="F85" s="50">
        <v>15.2</v>
      </c>
      <c r="G85" s="50">
        <v>3.5</v>
      </c>
      <c r="H85" s="50">
        <v>2.5</v>
      </c>
      <c r="I85" s="96">
        <v>70</v>
      </c>
      <c r="J85" s="50">
        <v>110</v>
      </c>
      <c r="K85" s="50">
        <v>15.2</v>
      </c>
      <c r="L85" s="50">
        <v>3.5</v>
      </c>
      <c r="M85" s="50">
        <v>2.5</v>
      </c>
      <c r="N85" s="96">
        <v>100</v>
      </c>
      <c r="O85" s="50">
        <v>157.15</v>
      </c>
      <c r="P85" s="50">
        <v>21.7</v>
      </c>
      <c r="Q85" s="50">
        <v>5.06</v>
      </c>
      <c r="R85" s="50">
        <v>3.63</v>
      </c>
    </row>
    <row r="86" spans="1:18" ht="15">
      <c r="A86" s="81" t="s">
        <v>277</v>
      </c>
      <c r="B86" s="202"/>
      <c r="C86" s="166" t="s">
        <v>258</v>
      </c>
      <c r="D86" s="203">
        <v>75</v>
      </c>
      <c r="E86" s="204">
        <v>47.4</v>
      </c>
      <c r="F86" s="204">
        <v>0.8</v>
      </c>
      <c r="G86" s="204">
        <v>2.4</v>
      </c>
      <c r="H86" s="204">
        <v>5.6</v>
      </c>
      <c r="I86" s="203">
        <v>75</v>
      </c>
      <c r="J86" s="204">
        <v>47.4</v>
      </c>
      <c r="K86" s="204">
        <v>0.8</v>
      </c>
      <c r="L86" s="204">
        <v>2.4</v>
      </c>
      <c r="M86" s="204">
        <v>5.6</v>
      </c>
      <c r="N86" s="203">
        <v>100</v>
      </c>
      <c r="O86" s="204">
        <v>63.14</v>
      </c>
      <c r="P86" s="204">
        <v>1.03</v>
      </c>
      <c r="Q86" s="204">
        <v>3.21</v>
      </c>
      <c r="R86" s="204">
        <v>7.51</v>
      </c>
    </row>
    <row r="87" spans="1:18" ht="23.25">
      <c r="A87" s="27" t="s">
        <v>235</v>
      </c>
      <c r="B87" s="32" t="s">
        <v>52</v>
      </c>
      <c r="C87" s="32" t="s">
        <v>137</v>
      </c>
      <c r="D87" s="89">
        <v>30</v>
      </c>
      <c r="E87" s="46">
        <v>89</v>
      </c>
      <c r="F87" s="36">
        <v>1.2</v>
      </c>
      <c r="G87" s="36">
        <v>2.6</v>
      </c>
      <c r="H87" s="36">
        <v>15</v>
      </c>
      <c r="I87" s="93">
        <v>50</v>
      </c>
      <c r="J87" s="46">
        <v>138</v>
      </c>
      <c r="K87" s="36">
        <v>2</v>
      </c>
      <c r="L87" s="36">
        <v>3.1</v>
      </c>
      <c r="M87" s="36">
        <v>25</v>
      </c>
      <c r="N87" s="93">
        <v>50</v>
      </c>
      <c r="O87" s="46">
        <v>138</v>
      </c>
      <c r="P87" s="36">
        <v>2</v>
      </c>
      <c r="Q87" s="36">
        <v>3.1</v>
      </c>
      <c r="R87" s="36">
        <v>25</v>
      </c>
    </row>
    <row r="88" spans="1:18" ht="21.75" customHeight="1">
      <c r="A88" s="81" t="s">
        <v>216</v>
      </c>
      <c r="B88" s="82"/>
      <c r="C88" s="83" t="s">
        <v>147</v>
      </c>
      <c r="D88" s="102">
        <v>200</v>
      </c>
      <c r="E88" s="84">
        <v>107.7</v>
      </c>
      <c r="F88" s="85">
        <v>0.3</v>
      </c>
      <c r="G88" s="85">
        <v>0.9</v>
      </c>
      <c r="H88" s="85">
        <v>24.9</v>
      </c>
      <c r="I88" s="102">
        <v>200</v>
      </c>
      <c r="J88" s="84">
        <v>107.7</v>
      </c>
      <c r="K88" s="85">
        <v>0.3</v>
      </c>
      <c r="L88" s="85">
        <v>0.9</v>
      </c>
      <c r="M88" s="85">
        <v>24.9</v>
      </c>
      <c r="N88" s="102">
        <v>200</v>
      </c>
      <c r="O88" s="84">
        <v>107.7</v>
      </c>
      <c r="P88" s="85">
        <v>0.3</v>
      </c>
      <c r="Q88" s="85">
        <v>0.9</v>
      </c>
      <c r="R88" s="85">
        <v>24.9</v>
      </c>
    </row>
    <row r="89" spans="1:18" ht="19.5" customHeight="1">
      <c r="A89" s="27" t="s">
        <v>205</v>
      </c>
      <c r="B89" s="28"/>
      <c r="C89" s="28" t="s">
        <v>273</v>
      </c>
      <c r="D89" s="86">
        <v>75</v>
      </c>
      <c r="E89" s="30">
        <v>71.3</v>
      </c>
      <c r="F89" s="30">
        <v>1.1</v>
      </c>
      <c r="G89" s="30">
        <v>0.2</v>
      </c>
      <c r="H89" s="30">
        <v>16.4</v>
      </c>
      <c r="I89" s="86">
        <v>75</v>
      </c>
      <c r="J89" s="30">
        <v>71.3</v>
      </c>
      <c r="K89" s="30">
        <v>1.1</v>
      </c>
      <c r="L89" s="30">
        <v>0.2</v>
      </c>
      <c r="M89" s="30">
        <v>16.4</v>
      </c>
      <c r="N89" s="86">
        <v>75</v>
      </c>
      <c r="O89" s="30">
        <v>71.3</v>
      </c>
      <c r="P89" s="30">
        <v>1.1</v>
      </c>
      <c r="Q89" s="30">
        <v>0.2</v>
      </c>
      <c r="R89" s="30">
        <v>16.4</v>
      </c>
    </row>
    <row r="90" spans="1:18" ht="15">
      <c r="A90" s="138" t="s">
        <v>27</v>
      </c>
      <c r="B90" s="138"/>
      <c r="C90" s="151"/>
      <c r="D90" s="141"/>
      <c r="E90" s="141">
        <f>SUM(E82:E89)</f>
        <v>663.8</v>
      </c>
      <c r="F90" s="141">
        <f>SUM(F83:F89)</f>
        <v>25.000000000000004</v>
      </c>
      <c r="G90" s="141">
        <f>SUM(G83:G89)</f>
        <v>15.299999999999999</v>
      </c>
      <c r="H90" s="141">
        <f>SUM(H83:H89)</f>
        <v>104.80000000000001</v>
      </c>
      <c r="I90" s="141"/>
      <c r="J90" s="141">
        <f>SUM(J83:J89)</f>
        <v>772.4</v>
      </c>
      <c r="K90" s="141">
        <f>SUM(K83:K89)</f>
        <v>27.5</v>
      </c>
      <c r="L90" s="141">
        <f>SUM(L83:L89)</f>
        <v>17.2</v>
      </c>
      <c r="M90" s="141">
        <f>SUM(M83:M89)</f>
        <v>125</v>
      </c>
      <c r="N90" s="141"/>
      <c r="O90" s="141">
        <f>SUM(O83:O89)</f>
        <v>835.29</v>
      </c>
      <c r="P90" s="141">
        <f>SUM(P83:P89)</f>
        <v>34.23</v>
      </c>
      <c r="Q90" s="141">
        <f>SUM(Q83:Q89)</f>
        <v>19.57</v>
      </c>
      <c r="R90" s="141">
        <f>SUM(R83:R89)</f>
        <v>128.04</v>
      </c>
    </row>
    <row r="91" spans="1:18" ht="15">
      <c r="A91" s="155" t="s">
        <v>41</v>
      </c>
      <c r="B91" s="155"/>
      <c r="C91" s="161" t="s">
        <v>29</v>
      </c>
      <c r="D91" s="156"/>
      <c r="E91" s="156"/>
      <c r="F91" s="156"/>
      <c r="G91" s="156"/>
      <c r="H91" s="156"/>
      <c r="I91" s="157"/>
      <c r="J91" s="156"/>
      <c r="K91" s="156"/>
      <c r="L91" s="156"/>
      <c r="M91" s="156"/>
      <c r="N91" s="157"/>
      <c r="O91" s="156"/>
      <c r="P91" s="156"/>
      <c r="Q91" s="156"/>
      <c r="R91" s="156"/>
    </row>
    <row r="92" spans="1:18" ht="24.75" customHeight="1">
      <c r="A92" s="27" t="s">
        <v>193</v>
      </c>
      <c r="B92" s="27" t="s">
        <v>224</v>
      </c>
      <c r="C92" s="235" t="s">
        <v>221</v>
      </c>
      <c r="D92" s="239" t="s">
        <v>252</v>
      </c>
      <c r="E92" s="240">
        <v>137.3</v>
      </c>
      <c r="F92" s="240">
        <v>2.4</v>
      </c>
      <c r="G92" s="240">
        <v>5.2</v>
      </c>
      <c r="H92" s="240">
        <v>20.8</v>
      </c>
      <c r="I92" s="239" t="s">
        <v>220</v>
      </c>
      <c r="J92" s="240">
        <v>171.7</v>
      </c>
      <c r="K92" s="240">
        <v>3</v>
      </c>
      <c r="L92" s="240">
        <v>6.6</v>
      </c>
      <c r="M92" s="240">
        <v>25.9</v>
      </c>
      <c r="N92" s="239" t="s">
        <v>220</v>
      </c>
      <c r="O92" s="240">
        <v>171.7</v>
      </c>
      <c r="P92" s="240">
        <v>3</v>
      </c>
      <c r="Q92" s="240">
        <v>6.6</v>
      </c>
      <c r="R92" s="240">
        <v>25.9</v>
      </c>
    </row>
    <row r="93" spans="1:18" ht="15" customHeight="1">
      <c r="A93" s="27" t="s">
        <v>197</v>
      </c>
      <c r="B93" s="28" t="s">
        <v>25</v>
      </c>
      <c r="C93" s="31" t="s">
        <v>50</v>
      </c>
      <c r="D93" s="86">
        <v>100</v>
      </c>
      <c r="E93" s="30">
        <v>140</v>
      </c>
      <c r="F93" s="30">
        <v>3.7</v>
      </c>
      <c r="G93" s="30">
        <v>3.3</v>
      </c>
      <c r="H93" s="30">
        <v>23.7</v>
      </c>
      <c r="I93" s="86">
        <v>150</v>
      </c>
      <c r="J93" s="30">
        <v>210</v>
      </c>
      <c r="K93" s="30">
        <v>5.6</v>
      </c>
      <c r="L93" s="30">
        <v>5</v>
      </c>
      <c r="M93" s="30">
        <v>35.5</v>
      </c>
      <c r="N93" s="86">
        <v>150</v>
      </c>
      <c r="O93" s="30">
        <v>210</v>
      </c>
      <c r="P93" s="30">
        <v>5.6</v>
      </c>
      <c r="Q93" s="30">
        <v>5</v>
      </c>
      <c r="R93" s="30">
        <v>35.5</v>
      </c>
    </row>
    <row r="94" spans="1:18" ht="22.5" customHeight="1">
      <c r="A94" s="81" t="s">
        <v>207</v>
      </c>
      <c r="B94" s="83" t="s">
        <v>167</v>
      </c>
      <c r="C94" s="83" t="s">
        <v>168</v>
      </c>
      <c r="D94" s="102">
        <v>85</v>
      </c>
      <c r="E94" s="213">
        <v>186</v>
      </c>
      <c r="F94" s="85" t="s">
        <v>169</v>
      </c>
      <c r="G94" s="85" t="s">
        <v>170</v>
      </c>
      <c r="H94" s="85" t="s">
        <v>171</v>
      </c>
      <c r="I94" s="102">
        <v>100</v>
      </c>
      <c r="J94" s="213">
        <v>219.24</v>
      </c>
      <c r="K94" s="85">
        <v>17.72</v>
      </c>
      <c r="L94" s="85">
        <v>9.07</v>
      </c>
      <c r="M94" s="85">
        <v>20.8</v>
      </c>
      <c r="N94" s="102">
        <v>100</v>
      </c>
      <c r="O94" s="213">
        <v>219.24</v>
      </c>
      <c r="P94" s="85">
        <v>17.72</v>
      </c>
      <c r="Q94" s="85">
        <v>9.07</v>
      </c>
      <c r="R94" s="85">
        <v>20.8</v>
      </c>
    </row>
    <row r="95" spans="1:18" ht="24.75" customHeight="1">
      <c r="A95" s="27" t="s">
        <v>297</v>
      </c>
      <c r="B95" s="32"/>
      <c r="C95" s="33" t="s">
        <v>298</v>
      </c>
      <c r="D95" s="90">
        <v>40</v>
      </c>
      <c r="E95" s="216">
        <v>5.2</v>
      </c>
      <c r="F95" s="35">
        <v>0.32</v>
      </c>
      <c r="G95" s="35">
        <v>0.04</v>
      </c>
      <c r="H95" s="35">
        <v>0.92</v>
      </c>
      <c r="I95" s="90">
        <v>40</v>
      </c>
      <c r="J95" s="216">
        <v>5.2</v>
      </c>
      <c r="K95" s="35">
        <v>0.32</v>
      </c>
      <c r="L95" s="35">
        <v>0.04</v>
      </c>
      <c r="M95" s="35">
        <v>0.92</v>
      </c>
      <c r="N95" s="90">
        <v>40</v>
      </c>
      <c r="O95" s="216">
        <v>5.2</v>
      </c>
      <c r="P95" s="35">
        <v>0.32</v>
      </c>
      <c r="Q95" s="35">
        <v>0.04</v>
      </c>
      <c r="R95" s="35">
        <v>0.92</v>
      </c>
    </row>
    <row r="96" spans="1:18" ht="23.25">
      <c r="A96" s="27" t="s">
        <v>296</v>
      </c>
      <c r="B96" s="27"/>
      <c r="C96" s="31" t="s">
        <v>295</v>
      </c>
      <c r="D96" s="91">
        <v>180</v>
      </c>
      <c r="E96" s="29">
        <v>38</v>
      </c>
      <c r="F96" s="29">
        <v>0.1</v>
      </c>
      <c r="G96" s="29">
        <v>0</v>
      </c>
      <c r="H96" s="29">
        <v>0.5</v>
      </c>
      <c r="I96" s="91">
        <v>180</v>
      </c>
      <c r="J96" s="29">
        <v>38</v>
      </c>
      <c r="K96" s="29">
        <v>0.1</v>
      </c>
      <c r="L96" s="29">
        <v>0</v>
      </c>
      <c r="M96" s="29">
        <v>0.5</v>
      </c>
      <c r="N96" s="91">
        <v>180</v>
      </c>
      <c r="O96" s="29">
        <v>38</v>
      </c>
      <c r="P96" s="29">
        <v>0.1</v>
      </c>
      <c r="Q96" s="29">
        <v>0</v>
      </c>
      <c r="R96" s="29">
        <v>0.5</v>
      </c>
    </row>
    <row r="97" spans="1:18" ht="15">
      <c r="A97" s="27" t="s">
        <v>205</v>
      </c>
      <c r="B97" s="28"/>
      <c r="C97" s="28" t="s">
        <v>273</v>
      </c>
      <c r="D97" s="86">
        <v>75</v>
      </c>
      <c r="E97" s="30">
        <v>71.3</v>
      </c>
      <c r="F97" s="30">
        <v>1.1</v>
      </c>
      <c r="G97" s="30">
        <v>0.2</v>
      </c>
      <c r="H97" s="30">
        <v>16.4</v>
      </c>
      <c r="I97" s="86">
        <v>75</v>
      </c>
      <c r="J97" s="30">
        <v>71.3</v>
      </c>
      <c r="K97" s="30">
        <v>1.1</v>
      </c>
      <c r="L97" s="30">
        <v>0.2</v>
      </c>
      <c r="M97" s="30">
        <v>16.4</v>
      </c>
      <c r="N97" s="86">
        <v>75</v>
      </c>
      <c r="O97" s="30">
        <v>71.3</v>
      </c>
      <c r="P97" s="30">
        <v>1.1</v>
      </c>
      <c r="Q97" s="30">
        <v>0.2</v>
      </c>
      <c r="R97" s="30">
        <v>16.4</v>
      </c>
    </row>
    <row r="98" spans="1:18" ht="15">
      <c r="A98" s="251" t="s">
        <v>27</v>
      </c>
      <c r="B98" s="251"/>
      <c r="C98" s="251"/>
      <c r="D98" s="141"/>
      <c r="E98" s="141">
        <f>SUM(E92:E97)</f>
        <v>577.8</v>
      </c>
      <c r="F98" s="141">
        <f>SUM(F92:F97)</f>
        <v>7.619999999999999</v>
      </c>
      <c r="G98" s="141">
        <f>SUM(G92:G97)</f>
        <v>8.739999999999998</v>
      </c>
      <c r="H98" s="141">
        <f>SUM(H92:H97)</f>
        <v>62.32</v>
      </c>
      <c r="I98" s="141"/>
      <c r="J98" s="141">
        <f>SUM(J92:J97)</f>
        <v>715.44</v>
      </c>
      <c r="K98" s="141">
        <f>SUM(K92:K97)</f>
        <v>27.840000000000003</v>
      </c>
      <c r="L98" s="141">
        <f>SUM(L92:L97)</f>
        <v>20.91</v>
      </c>
      <c r="M98" s="141">
        <f>SUM(M92:M97)</f>
        <v>100.02000000000001</v>
      </c>
      <c r="N98" s="141"/>
      <c r="O98" s="141">
        <f>SUM(O92:O97)</f>
        <v>715.44</v>
      </c>
      <c r="P98" s="141">
        <f>SUM(P92:P97)</f>
        <v>27.840000000000003</v>
      </c>
      <c r="Q98" s="141">
        <f>SUM(Q92:Q97)</f>
        <v>20.91</v>
      </c>
      <c r="R98" s="141">
        <f>SUM(R92:R97)</f>
        <v>100.02000000000001</v>
      </c>
    </row>
    <row r="99" spans="1:18" ht="24.75" customHeight="1">
      <c r="A99" s="155" t="s">
        <v>42</v>
      </c>
      <c r="B99" s="155"/>
      <c r="C99" s="161" t="s">
        <v>32</v>
      </c>
      <c r="D99" s="156"/>
      <c r="E99" s="156"/>
      <c r="F99" s="156"/>
      <c r="G99" s="156"/>
      <c r="H99" s="156"/>
      <c r="I99" s="157"/>
      <c r="J99" s="156"/>
      <c r="K99" s="156"/>
      <c r="L99" s="156"/>
      <c r="M99" s="156"/>
      <c r="N99" s="157"/>
      <c r="O99" s="156"/>
      <c r="P99" s="156"/>
      <c r="Q99" s="156"/>
      <c r="R99" s="156"/>
    </row>
    <row r="100" spans="1:18" s="10" customFormat="1" ht="33.75" customHeight="1">
      <c r="A100" s="27" t="s">
        <v>303</v>
      </c>
      <c r="B100" s="27" t="s">
        <v>219</v>
      </c>
      <c r="C100" s="235" t="s">
        <v>302</v>
      </c>
      <c r="D100" s="88" t="s">
        <v>301</v>
      </c>
      <c r="E100" s="65">
        <v>102</v>
      </c>
      <c r="F100" s="65">
        <v>1.8</v>
      </c>
      <c r="G100" s="65">
        <v>7</v>
      </c>
      <c r="H100" s="65">
        <v>57</v>
      </c>
      <c r="I100" s="88" t="s">
        <v>301</v>
      </c>
      <c r="J100" s="65">
        <v>102</v>
      </c>
      <c r="K100" s="65">
        <v>1.8</v>
      </c>
      <c r="L100" s="65">
        <v>7</v>
      </c>
      <c r="M100" s="65">
        <v>57</v>
      </c>
      <c r="N100" s="88" t="s">
        <v>301</v>
      </c>
      <c r="O100" s="65">
        <v>102</v>
      </c>
      <c r="P100" s="65">
        <v>1.8</v>
      </c>
      <c r="Q100" s="65">
        <v>7</v>
      </c>
      <c r="R100" s="65">
        <v>57</v>
      </c>
    </row>
    <row r="101" spans="1:18" s="10" customFormat="1" ht="24.75" customHeight="1">
      <c r="A101" s="27" t="s">
        <v>235</v>
      </c>
      <c r="B101" s="32" t="s">
        <v>52</v>
      </c>
      <c r="C101" s="32" t="s">
        <v>137</v>
      </c>
      <c r="D101" s="89">
        <v>30</v>
      </c>
      <c r="E101" s="46">
        <v>89</v>
      </c>
      <c r="F101" s="36">
        <v>1.2</v>
      </c>
      <c r="G101" s="36">
        <v>2.6</v>
      </c>
      <c r="H101" s="36">
        <v>15</v>
      </c>
      <c r="I101" s="93">
        <v>50</v>
      </c>
      <c r="J101" s="46">
        <v>138</v>
      </c>
      <c r="K101" s="36">
        <v>2</v>
      </c>
      <c r="L101" s="36">
        <v>3.1</v>
      </c>
      <c r="M101" s="36">
        <v>25</v>
      </c>
      <c r="N101" s="93">
        <v>50</v>
      </c>
      <c r="O101" s="46">
        <v>138</v>
      </c>
      <c r="P101" s="36">
        <v>2</v>
      </c>
      <c r="Q101" s="36">
        <v>3.1</v>
      </c>
      <c r="R101" s="36">
        <v>25</v>
      </c>
    </row>
    <row r="102" spans="1:18" ht="39" customHeight="1">
      <c r="A102" s="196" t="s">
        <v>236</v>
      </c>
      <c r="B102" s="197" t="s">
        <v>179</v>
      </c>
      <c r="C102" s="197" t="s">
        <v>233</v>
      </c>
      <c r="D102" s="210" t="s">
        <v>253</v>
      </c>
      <c r="E102" s="211">
        <v>274.46</v>
      </c>
      <c r="F102" s="212">
        <v>17.36</v>
      </c>
      <c r="G102" s="212">
        <v>13.74</v>
      </c>
      <c r="H102" s="212">
        <v>20.04</v>
      </c>
      <c r="I102" s="210" t="s">
        <v>250</v>
      </c>
      <c r="J102" s="211">
        <v>383.64</v>
      </c>
      <c r="K102" s="212">
        <v>25.69</v>
      </c>
      <c r="L102" s="212">
        <v>18.11</v>
      </c>
      <c r="M102" s="212">
        <v>29.11</v>
      </c>
      <c r="N102" s="210" t="s">
        <v>250</v>
      </c>
      <c r="O102" s="211">
        <v>383.64</v>
      </c>
      <c r="P102" s="212">
        <v>25.69</v>
      </c>
      <c r="Q102" s="212">
        <v>18.11</v>
      </c>
      <c r="R102" s="212">
        <v>29.11</v>
      </c>
    </row>
    <row r="103" spans="1:18" ht="26.25" customHeight="1">
      <c r="A103" s="27" t="s">
        <v>214</v>
      </c>
      <c r="B103" s="207" t="s">
        <v>33</v>
      </c>
      <c r="C103" s="207" t="s">
        <v>160</v>
      </c>
      <c r="D103" s="90">
        <v>200</v>
      </c>
      <c r="E103" s="208">
        <v>112.48</v>
      </c>
      <c r="F103" s="209">
        <v>6.11</v>
      </c>
      <c r="G103" s="209">
        <v>5.5</v>
      </c>
      <c r="H103" s="209">
        <v>9.85</v>
      </c>
      <c r="I103" s="90">
        <v>200</v>
      </c>
      <c r="J103" s="208">
        <v>112.48</v>
      </c>
      <c r="K103" s="209">
        <v>6.11</v>
      </c>
      <c r="L103" s="209">
        <v>5.5</v>
      </c>
      <c r="M103" s="209">
        <v>9.85</v>
      </c>
      <c r="N103" s="90">
        <v>200</v>
      </c>
      <c r="O103" s="208">
        <v>112.48</v>
      </c>
      <c r="P103" s="209">
        <v>6.11</v>
      </c>
      <c r="Q103" s="209">
        <v>5.5</v>
      </c>
      <c r="R103" s="209">
        <v>9.85</v>
      </c>
    </row>
    <row r="104" spans="1:18" ht="15">
      <c r="A104" s="27" t="s">
        <v>205</v>
      </c>
      <c r="B104" s="38"/>
      <c r="C104" s="37" t="s">
        <v>273</v>
      </c>
      <c r="D104" s="86">
        <v>75</v>
      </c>
      <c r="E104" s="30">
        <v>71.3</v>
      </c>
      <c r="F104" s="30">
        <v>1.1</v>
      </c>
      <c r="G104" s="30">
        <v>0.2</v>
      </c>
      <c r="H104" s="30">
        <v>16.4</v>
      </c>
      <c r="I104" s="86">
        <v>75</v>
      </c>
      <c r="J104" s="30">
        <v>71.3</v>
      </c>
      <c r="K104" s="30">
        <v>1.1</v>
      </c>
      <c r="L104" s="30">
        <v>0.2</v>
      </c>
      <c r="M104" s="30">
        <v>16.4</v>
      </c>
      <c r="N104" s="86">
        <v>75</v>
      </c>
      <c r="O104" s="30">
        <v>71.3</v>
      </c>
      <c r="P104" s="30">
        <v>1.1</v>
      </c>
      <c r="Q104" s="30">
        <v>0.2</v>
      </c>
      <c r="R104" s="30">
        <v>16.4</v>
      </c>
    </row>
    <row r="105" spans="1:18" ht="15">
      <c r="A105" s="138" t="s">
        <v>27</v>
      </c>
      <c r="B105" s="143"/>
      <c r="C105" s="150"/>
      <c r="D105" s="146"/>
      <c r="E105" s="146">
        <f>SUM(E100:E104)</f>
        <v>649.2399999999999</v>
      </c>
      <c r="F105" s="146">
        <f>SUM(F100:F104)</f>
        <v>27.57</v>
      </c>
      <c r="G105" s="146">
        <f>SUM(G92:G104)</f>
        <v>46.52</v>
      </c>
      <c r="H105" s="146">
        <f>SUM(H100:H104)</f>
        <v>118.28999999999999</v>
      </c>
      <c r="I105" s="146"/>
      <c r="J105" s="146">
        <f>SUM(J100:J104)</f>
        <v>807.42</v>
      </c>
      <c r="K105" s="146">
        <f>SUM(K92:K104)</f>
        <v>92.38</v>
      </c>
      <c r="L105" s="146">
        <f>SUM(L92:L104)</f>
        <v>75.73</v>
      </c>
      <c r="M105" s="146">
        <f>SUM(M92:M104)</f>
        <v>337.40000000000003</v>
      </c>
      <c r="N105" s="146"/>
      <c r="O105" s="146">
        <f>SUM(O100:O104)</f>
        <v>807.42</v>
      </c>
      <c r="P105" s="146">
        <f>SUM(P92:P104)</f>
        <v>92.38</v>
      </c>
      <c r="Q105" s="146">
        <f>SUM(Q92:Q104)</f>
        <v>75.73</v>
      </c>
      <c r="R105" s="146">
        <f>SUM(R92:R104)</f>
        <v>337.40000000000003</v>
      </c>
    </row>
    <row r="106" spans="1:18" ht="20.25" customHeight="1">
      <c r="A106" s="254" t="s">
        <v>43</v>
      </c>
      <c r="B106" s="254"/>
      <c r="C106" s="254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</row>
    <row r="107" spans="1:18" ht="27.75" customHeight="1">
      <c r="A107" s="27" t="s">
        <v>243</v>
      </c>
      <c r="B107" s="32" t="s">
        <v>230</v>
      </c>
      <c r="C107" s="33" t="s">
        <v>146</v>
      </c>
      <c r="D107" s="98">
        <v>200</v>
      </c>
      <c r="E107" s="54">
        <v>146</v>
      </c>
      <c r="F107" s="52">
        <v>3.8</v>
      </c>
      <c r="G107" s="53">
        <v>4.6</v>
      </c>
      <c r="H107" s="53">
        <v>23.1</v>
      </c>
      <c r="I107" s="98">
        <v>250</v>
      </c>
      <c r="J107" s="54">
        <v>157.9</v>
      </c>
      <c r="K107" s="52">
        <v>4.3</v>
      </c>
      <c r="L107" s="53">
        <v>3.3</v>
      </c>
      <c r="M107" s="53">
        <v>28.9</v>
      </c>
      <c r="N107" s="98">
        <v>250</v>
      </c>
      <c r="O107" s="54">
        <v>157.9</v>
      </c>
      <c r="P107" s="52">
        <v>4.3</v>
      </c>
      <c r="Q107" s="53">
        <v>3.3</v>
      </c>
      <c r="R107" s="53">
        <v>28.9</v>
      </c>
    </row>
    <row r="108" spans="1:18" ht="18" customHeight="1">
      <c r="A108" s="27" t="s">
        <v>278</v>
      </c>
      <c r="B108" s="32"/>
      <c r="C108" s="207" t="s">
        <v>291</v>
      </c>
      <c r="D108" s="90">
        <v>150</v>
      </c>
      <c r="E108" s="216">
        <v>154.5</v>
      </c>
      <c r="F108" s="35">
        <v>3.3</v>
      </c>
      <c r="G108" s="35">
        <v>5.85</v>
      </c>
      <c r="H108" s="35">
        <v>21.3</v>
      </c>
      <c r="I108" s="90">
        <v>150</v>
      </c>
      <c r="J108" s="216">
        <v>154.5</v>
      </c>
      <c r="K108" s="35">
        <v>3.3</v>
      </c>
      <c r="L108" s="35">
        <v>5.85</v>
      </c>
      <c r="M108" s="35">
        <v>21.3</v>
      </c>
      <c r="N108" s="90">
        <v>150</v>
      </c>
      <c r="O108" s="216">
        <v>154.5</v>
      </c>
      <c r="P108" s="35">
        <v>3.3</v>
      </c>
      <c r="Q108" s="35">
        <v>5.85</v>
      </c>
      <c r="R108" s="35">
        <v>21.3</v>
      </c>
    </row>
    <row r="109" spans="1:18" ht="33.75">
      <c r="A109" s="196" t="s">
        <v>209</v>
      </c>
      <c r="B109" s="197" t="s">
        <v>184</v>
      </c>
      <c r="C109" s="244" t="s">
        <v>185</v>
      </c>
      <c r="D109" s="214">
        <v>60</v>
      </c>
      <c r="E109" s="215">
        <v>71</v>
      </c>
      <c r="F109" s="200" t="s">
        <v>186</v>
      </c>
      <c r="G109" s="200" t="s">
        <v>183</v>
      </c>
      <c r="H109" s="200">
        <v>4</v>
      </c>
      <c r="I109" s="214">
        <v>60</v>
      </c>
      <c r="J109" s="215">
        <v>71</v>
      </c>
      <c r="K109" s="200" t="s">
        <v>186</v>
      </c>
      <c r="L109" s="200" t="s">
        <v>183</v>
      </c>
      <c r="M109" s="200">
        <v>4</v>
      </c>
      <c r="N109" s="214">
        <v>100</v>
      </c>
      <c r="O109" s="215">
        <v>118.88</v>
      </c>
      <c r="P109" s="200">
        <v>16</v>
      </c>
      <c r="Q109" s="200">
        <v>4.52</v>
      </c>
      <c r="R109" s="200">
        <v>6.62</v>
      </c>
    </row>
    <row r="110" spans="1:18" ht="22.5">
      <c r="A110" s="27" t="s">
        <v>203</v>
      </c>
      <c r="B110" s="32" t="s">
        <v>152</v>
      </c>
      <c r="C110" s="32" t="s">
        <v>153</v>
      </c>
      <c r="D110" s="90">
        <v>50</v>
      </c>
      <c r="E110" s="45">
        <v>34</v>
      </c>
      <c r="F110" s="35" t="s">
        <v>154</v>
      </c>
      <c r="G110" s="35" t="s">
        <v>155</v>
      </c>
      <c r="H110" s="35">
        <v>3.1</v>
      </c>
      <c r="I110" s="90">
        <v>100</v>
      </c>
      <c r="J110" s="45">
        <v>67.98</v>
      </c>
      <c r="K110" s="35">
        <v>1.98</v>
      </c>
      <c r="L110" s="35">
        <v>3.65</v>
      </c>
      <c r="M110" s="35">
        <v>6.21</v>
      </c>
      <c r="N110" s="90">
        <v>100</v>
      </c>
      <c r="O110" s="45">
        <v>67.98</v>
      </c>
      <c r="P110" s="35">
        <v>1.98</v>
      </c>
      <c r="Q110" s="35">
        <v>3.65</v>
      </c>
      <c r="R110" s="35">
        <v>6.21</v>
      </c>
    </row>
    <row r="111" spans="1:18" ht="23.25">
      <c r="A111" s="196" t="s">
        <v>235</v>
      </c>
      <c r="B111" s="197" t="s">
        <v>161</v>
      </c>
      <c r="C111" s="218" t="s">
        <v>274</v>
      </c>
      <c r="D111" s="214">
        <v>30</v>
      </c>
      <c r="E111" s="215">
        <v>68</v>
      </c>
      <c r="F111" s="200" t="s">
        <v>162</v>
      </c>
      <c r="G111" s="200" t="s">
        <v>150</v>
      </c>
      <c r="H111" s="200" t="s">
        <v>163</v>
      </c>
      <c r="I111" s="214">
        <v>50</v>
      </c>
      <c r="J111" s="215">
        <v>113</v>
      </c>
      <c r="K111" s="200">
        <v>2</v>
      </c>
      <c r="L111" s="200" t="s">
        <v>165</v>
      </c>
      <c r="M111" s="200">
        <v>25</v>
      </c>
      <c r="N111" s="214">
        <v>50</v>
      </c>
      <c r="O111" s="215">
        <v>113</v>
      </c>
      <c r="P111" s="200" t="s">
        <v>164</v>
      </c>
      <c r="Q111" s="200" t="s">
        <v>165</v>
      </c>
      <c r="R111" s="200" t="s">
        <v>166</v>
      </c>
    </row>
    <row r="112" spans="1:18" ht="23.25">
      <c r="A112" s="27" t="s">
        <v>235</v>
      </c>
      <c r="B112" s="27" t="s">
        <v>25</v>
      </c>
      <c r="C112" s="31" t="s">
        <v>26</v>
      </c>
      <c r="D112" s="92">
        <v>15</v>
      </c>
      <c r="E112" s="30">
        <v>54</v>
      </c>
      <c r="F112" s="30">
        <v>3.5</v>
      </c>
      <c r="G112" s="30">
        <v>4.4</v>
      </c>
      <c r="H112" s="30">
        <v>0</v>
      </c>
      <c r="I112" s="92">
        <v>15</v>
      </c>
      <c r="J112" s="30">
        <v>54</v>
      </c>
      <c r="K112" s="30">
        <v>3.5</v>
      </c>
      <c r="L112" s="30">
        <v>4.4</v>
      </c>
      <c r="M112" s="30">
        <v>0</v>
      </c>
      <c r="N112" s="92">
        <v>15</v>
      </c>
      <c r="O112" s="30">
        <v>54</v>
      </c>
      <c r="P112" s="30">
        <v>3.5</v>
      </c>
      <c r="Q112" s="30">
        <v>4.4</v>
      </c>
      <c r="R112" s="30">
        <v>0</v>
      </c>
    </row>
    <row r="113" spans="1:18" ht="15">
      <c r="A113" s="27" t="s">
        <v>204</v>
      </c>
      <c r="B113" s="27"/>
      <c r="C113" s="31" t="s">
        <v>257</v>
      </c>
      <c r="D113" s="91" t="s">
        <v>252</v>
      </c>
      <c r="E113" s="30">
        <v>0.82</v>
      </c>
      <c r="F113" s="30">
        <v>0</v>
      </c>
      <c r="G113" s="30">
        <v>0</v>
      </c>
      <c r="H113" s="30">
        <v>0.23</v>
      </c>
      <c r="I113" s="91" t="s">
        <v>294</v>
      </c>
      <c r="J113" s="30">
        <v>0.82</v>
      </c>
      <c r="K113" s="30">
        <v>0</v>
      </c>
      <c r="L113" s="30">
        <v>0</v>
      </c>
      <c r="M113" s="30">
        <v>0.23</v>
      </c>
      <c r="N113" s="91" t="s">
        <v>294</v>
      </c>
      <c r="O113" s="30">
        <v>0.82</v>
      </c>
      <c r="P113" s="30">
        <v>0</v>
      </c>
      <c r="Q113" s="30">
        <v>0</v>
      </c>
      <c r="R113" s="30">
        <v>0.23</v>
      </c>
    </row>
    <row r="114" spans="1:18" ht="15">
      <c r="A114" s="27" t="s">
        <v>205</v>
      </c>
      <c r="B114" s="28"/>
      <c r="C114" s="28" t="s">
        <v>273</v>
      </c>
      <c r="D114" s="86">
        <v>75</v>
      </c>
      <c r="E114" s="30">
        <v>71.3</v>
      </c>
      <c r="F114" s="30">
        <v>1.1</v>
      </c>
      <c r="G114" s="30">
        <v>0.2</v>
      </c>
      <c r="H114" s="30">
        <v>16.4</v>
      </c>
      <c r="I114" s="86">
        <v>75</v>
      </c>
      <c r="J114" s="30">
        <v>71.3</v>
      </c>
      <c r="K114" s="30">
        <v>1.1</v>
      </c>
      <c r="L114" s="30">
        <v>0.2</v>
      </c>
      <c r="M114" s="30">
        <v>16.4</v>
      </c>
      <c r="N114" s="86">
        <v>75</v>
      </c>
      <c r="O114" s="30">
        <v>71.3</v>
      </c>
      <c r="P114" s="30">
        <v>1.1</v>
      </c>
      <c r="Q114" s="30">
        <v>0.2</v>
      </c>
      <c r="R114" s="30">
        <v>16.4</v>
      </c>
    </row>
    <row r="115" spans="1:18" ht="27" customHeight="1">
      <c r="A115" s="138" t="s">
        <v>27</v>
      </c>
      <c r="B115" s="139"/>
      <c r="C115" s="149"/>
      <c r="D115" s="141"/>
      <c r="E115" s="141">
        <f>SUM(E107:E114)</f>
        <v>599.62</v>
      </c>
      <c r="F115" s="141">
        <f>SUM(F107:F122)</f>
        <v>18.98</v>
      </c>
      <c r="G115" s="141">
        <f>SUM(G107:G122)</f>
        <v>11.610000000000001</v>
      </c>
      <c r="H115" s="141">
        <f>SUM(H107:H122)</f>
        <v>76.42000000000002</v>
      </c>
      <c r="I115" s="141"/>
      <c r="J115" s="141">
        <f>SUM(J107:J114)</f>
        <v>690.5</v>
      </c>
      <c r="K115" s="141">
        <f>SUM(K106:K122)</f>
        <v>22.759999999999998</v>
      </c>
      <c r="L115" s="141">
        <f>SUM(L106:L122)</f>
        <v>13.18</v>
      </c>
      <c r="M115" s="141">
        <f>SUM(M106:M122)</f>
        <v>111.9</v>
      </c>
      <c r="N115" s="141"/>
      <c r="O115" s="141">
        <f>SUM(O107:O114)</f>
        <v>738.38</v>
      </c>
      <c r="P115" s="141">
        <f>SUM(P106:P122)</f>
        <v>25.28</v>
      </c>
      <c r="Q115" s="141">
        <f>SUM(Q106:Q122)</f>
        <v>13.920000000000002</v>
      </c>
      <c r="R115" s="141">
        <f>SUM(R106:R122)</f>
        <v>87.95</v>
      </c>
    </row>
    <row r="116" spans="1:18" ht="22.5" customHeight="1">
      <c r="A116" s="155" t="s">
        <v>45</v>
      </c>
      <c r="B116" s="155"/>
      <c r="C116" s="161" t="s">
        <v>37</v>
      </c>
      <c r="D116" s="156"/>
      <c r="E116" s="156"/>
      <c r="F116" s="156"/>
      <c r="G116" s="156"/>
      <c r="H116" s="156"/>
      <c r="I116" s="157"/>
      <c r="J116" s="156"/>
      <c r="K116" s="156"/>
      <c r="L116" s="156"/>
      <c r="M116" s="156"/>
      <c r="N116" s="157"/>
      <c r="O116" s="156"/>
      <c r="P116" s="156"/>
      <c r="Q116" s="156"/>
      <c r="R116" s="156"/>
    </row>
    <row r="117" spans="1:18" ht="22.5" customHeight="1">
      <c r="A117" s="27" t="s">
        <v>287</v>
      </c>
      <c r="B117" s="27" t="s">
        <v>52</v>
      </c>
      <c r="C117" s="236" t="s">
        <v>289</v>
      </c>
      <c r="D117" s="237">
        <v>200</v>
      </c>
      <c r="E117" s="241">
        <v>69</v>
      </c>
      <c r="F117" s="223">
        <v>1.5</v>
      </c>
      <c r="G117" s="223">
        <v>4.2</v>
      </c>
      <c r="H117" s="223">
        <v>5.7</v>
      </c>
      <c r="I117" s="242">
        <v>250</v>
      </c>
      <c r="J117" s="241">
        <v>86</v>
      </c>
      <c r="K117" s="223">
        <v>1.9</v>
      </c>
      <c r="L117" s="223">
        <v>5.3</v>
      </c>
      <c r="M117" s="223">
        <v>7.2</v>
      </c>
      <c r="N117" s="242">
        <v>250</v>
      </c>
      <c r="O117" s="241">
        <v>86</v>
      </c>
      <c r="P117" s="223">
        <v>1.9</v>
      </c>
      <c r="Q117" s="223">
        <v>5.3</v>
      </c>
      <c r="R117" s="223">
        <v>7.2</v>
      </c>
    </row>
    <row r="118" spans="1:18" ht="23.25" customHeight="1">
      <c r="A118" s="27" t="s">
        <v>196</v>
      </c>
      <c r="B118" s="48" t="s">
        <v>44</v>
      </c>
      <c r="C118" s="66" t="s">
        <v>40</v>
      </c>
      <c r="D118" s="88">
        <v>120</v>
      </c>
      <c r="E118" s="65">
        <v>132.7</v>
      </c>
      <c r="F118" s="65">
        <v>4.1</v>
      </c>
      <c r="G118" s="65">
        <v>3.1</v>
      </c>
      <c r="H118" s="65">
        <v>24.1</v>
      </c>
      <c r="I118" s="88">
        <v>150</v>
      </c>
      <c r="J118" s="65">
        <v>165.8</v>
      </c>
      <c r="K118" s="65">
        <v>5.2</v>
      </c>
      <c r="L118" s="65">
        <v>3.9</v>
      </c>
      <c r="M118" s="65">
        <v>30.1</v>
      </c>
      <c r="N118" s="88">
        <v>150</v>
      </c>
      <c r="O118" s="65">
        <v>165.8</v>
      </c>
      <c r="P118" s="65">
        <v>5.2</v>
      </c>
      <c r="Q118" s="65">
        <v>3.9</v>
      </c>
      <c r="R118" s="65">
        <v>30.1</v>
      </c>
    </row>
    <row r="119" spans="1:18" ht="15">
      <c r="A119" s="27" t="s">
        <v>213</v>
      </c>
      <c r="B119" s="28" t="s">
        <v>24</v>
      </c>
      <c r="C119" s="31" t="s">
        <v>172</v>
      </c>
      <c r="D119" s="86">
        <v>40</v>
      </c>
      <c r="E119" s="30">
        <v>63</v>
      </c>
      <c r="F119" s="30">
        <v>5.1</v>
      </c>
      <c r="G119" s="30">
        <v>4.6</v>
      </c>
      <c r="H119" s="30">
        <v>0.3</v>
      </c>
      <c r="I119" s="86">
        <v>40</v>
      </c>
      <c r="J119" s="30">
        <v>63</v>
      </c>
      <c r="K119" s="30">
        <v>5.1</v>
      </c>
      <c r="L119" s="30">
        <v>4.6</v>
      </c>
      <c r="M119" s="30">
        <v>0.3</v>
      </c>
      <c r="N119" s="86">
        <v>40</v>
      </c>
      <c r="O119" s="30">
        <v>63</v>
      </c>
      <c r="P119" s="30">
        <v>5.1</v>
      </c>
      <c r="Q119" s="30">
        <v>4.6</v>
      </c>
      <c r="R119" s="30">
        <v>0.3</v>
      </c>
    </row>
    <row r="120" spans="1:18" ht="15">
      <c r="A120" s="27" t="s">
        <v>288</v>
      </c>
      <c r="B120" s="28"/>
      <c r="C120" s="49" t="s">
        <v>267</v>
      </c>
      <c r="D120" s="96">
        <v>85</v>
      </c>
      <c r="E120" s="50">
        <v>124.5</v>
      </c>
      <c r="F120" s="50">
        <v>1.11</v>
      </c>
      <c r="G120" s="50">
        <v>10.25</v>
      </c>
      <c r="H120" s="50">
        <v>7.67</v>
      </c>
      <c r="I120" s="96">
        <v>85</v>
      </c>
      <c r="J120" s="50">
        <v>124.5</v>
      </c>
      <c r="K120" s="50">
        <v>1.11</v>
      </c>
      <c r="L120" s="50">
        <v>10.25</v>
      </c>
      <c r="M120" s="50">
        <v>7.67</v>
      </c>
      <c r="N120" s="96">
        <v>85</v>
      </c>
      <c r="O120" s="50">
        <v>124.5</v>
      </c>
      <c r="P120" s="50">
        <v>1.11</v>
      </c>
      <c r="Q120" s="50">
        <v>10.25</v>
      </c>
      <c r="R120" s="50">
        <v>7.67</v>
      </c>
    </row>
    <row r="121" spans="1:18" ht="15">
      <c r="A121" s="27" t="s">
        <v>205</v>
      </c>
      <c r="B121" s="28"/>
      <c r="C121" s="28" t="s">
        <v>273</v>
      </c>
      <c r="D121" s="86">
        <v>75</v>
      </c>
      <c r="E121" s="30">
        <v>71.3</v>
      </c>
      <c r="F121" s="30">
        <v>1.1</v>
      </c>
      <c r="G121" s="30">
        <v>0.2</v>
      </c>
      <c r="H121" s="30">
        <v>16.4</v>
      </c>
      <c r="I121" s="86">
        <v>75</v>
      </c>
      <c r="J121" s="30">
        <v>71.3</v>
      </c>
      <c r="K121" s="30">
        <v>1.1</v>
      </c>
      <c r="L121" s="30">
        <v>0.2</v>
      </c>
      <c r="M121" s="30">
        <v>16.4</v>
      </c>
      <c r="N121" s="86">
        <v>75</v>
      </c>
      <c r="O121" s="30">
        <v>71.3</v>
      </c>
      <c r="P121" s="30">
        <v>1.1</v>
      </c>
      <c r="Q121" s="30">
        <v>0.2</v>
      </c>
      <c r="R121" s="30">
        <v>16.4</v>
      </c>
    </row>
    <row r="122" spans="1:18" ht="23.25">
      <c r="A122" s="27" t="s">
        <v>235</v>
      </c>
      <c r="B122" s="56"/>
      <c r="C122" s="47" t="s">
        <v>194</v>
      </c>
      <c r="D122" s="99">
        <v>200</v>
      </c>
      <c r="E122" s="48">
        <v>132</v>
      </c>
      <c r="F122" s="48">
        <v>0</v>
      </c>
      <c r="G122" s="48">
        <v>0</v>
      </c>
      <c r="H122" s="48">
        <v>32</v>
      </c>
      <c r="I122" s="99">
        <v>200</v>
      </c>
      <c r="J122" s="48">
        <v>132</v>
      </c>
      <c r="K122" s="48">
        <v>0</v>
      </c>
      <c r="L122" s="48">
        <v>0</v>
      </c>
      <c r="M122" s="48">
        <v>32</v>
      </c>
      <c r="N122" s="99">
        <v>200</v>
      </c>
      <c r="O122" s="48">
        <v>132</v>
      </c>
      <c r="P122" s="48">
        <v>0</v>
      </c>
      <c r="Q122" s="48">
        <v>0</v>
      </c>
      <c r="R122" s="48">
        <v>32</v>
      </c>
    </row>
    <row r="123" spans="1:18" ht="27.75" customHeight="1">
      <c r="A123" s="138" t="s">
        <v>27</v>
      </c>
      <c r="B123" s="139"/>
      <c r="C123" s="149"/>
      <c r="D123" s="141"/>
      <c r="E123" s="141">
        <f>SUM(E117:E122)</f>
        <v>592.5</v>
      </c>
      <c r="F123" s="141">
        <f>SUM(F117:F122)</f>
        <v>12.909999999999998</v>
      </c>
      <c r="G123" s="141">
        <f>SUM(G119:G122)</f>
        <v>15.049999999999999</v>
      </c>
      <c r="H123" s="141">
        <f>SUM(H119:H122)</f>
        <v>56.37</v>
      </c>
      <c r="I123" s="141"/>
      <c r="J123" s="141">
        <f>SUM(J117:J122)</f>
        <v>642.6</v>
      </c>
      <c r="K123" s="141">
        <f>SUM(K119:K122)</f>
        <v>7.3100000000000005</v>
      </c>
      <c r="L123" s="141">
        <f>SUM(L119:L122)</f>
        <v>15.049999999999999</v>
      </c>
      <c r="M123" s="141">
        <f>SUM(M119:M122)</f>
        <v>56.37</v>
      </c>
      <c r="N123" s="141"/>
      <c r="O123" s="141">
        <f>SUM(O117:O122)</f>
        <v>642.6</v>
      </c>
      <c r="P123" s="141">
        <f>SUM(P119:P122)</f>
        <v>7.3100000000000005</v>
      </c>
      <c r="Q123" s="141">
        <f>SUM(Q119:Q122)</f>
        <v>15.049999999999999</v>
      </c>
      <c r="R123" s="141">
        <f>SUM(R119:R122)</f>
        <v>56.37</v>
      </c>
    </row>
    <row r="124" spans="1:18" ht="15">
      <c r="A124" s="248" t="s">
        <v>239</v>
      </c>
      <c r="B124" s="249"/>
      <c r="C124" s="250"/>
      <c r="D124" s="130"/>
      <c r="E124" s="130">
        <f>E90+E98+E105+E115+E123</f>
        <v>3082.9599999999996</v>
      </c>
      <c r="F124" s="130">
        <f>F90+F98+F105+F115+F123</f>
        <v>112.17000000000002</v>
      </c>
      <c r="G124" s="130">
        <f>G90+G98+G105+G115+G123</f>
        <v>103.67</v>
      </c>
      <c r="H124" s="130">
        <f>H90+H98+H105+H115+H123</f>
        <v>482.8</v>
      </c>
      <c r="I124" s="130"/>
      <c r="J124" s="130">
        <f>J90+J98+J105+J115+J123</f>
        <v>3628.36</v>
      </c>
      <c r="K124" s="130">
        <f>K90+K98+K105+K115+K123</f>
        <v>137.77999999999997</v>
      </c>
      <c r="L124" s="130">
        <f>L90+L98+L105+L115+L123</f>
        <v>128.35999999999999</v>
      </c>
      <c r="M124" s="130">
        <f>M90+M98+M105+M115+M123</f>
        <v>603.09</v>
      </c>
      <c r="N124" s="130"/>
      <c r="O124" s="130">
        <f>O90+O98+O105+O115+O123</f>
        <v>3739.13</v>
      </c>
      <c r="P124" s="130">
        <f>P90+P98+P105+P115+P123</f>
        <v>194.35999999999999</v>
      </c>
      <c r="Q124" s="130">
        <f>Q90+Q98+Q105+Q115+Q123</f>
        <v>156.91</v>
      </c>
      <c r="R124" s="130">
        <f>R90+R98+R105+R115+R123</f>
        <v>649.0400000000001</v>
      </c>
    </row>
    <row r="125" spans="1:18" ht="15">
      <c r="A125" s="248" t="s">
        <v>240</v>
      </c>
      <c r="B125" s="249"/>
      <c r="C125" s="250"/>
      <c r="D125" s="130"/>
      <c r="E125" s="130">
        <f>E124/5</f>
        <v>616.5919999999999</v>
      </c>
      <c r="F125" s="130">
        <f>F124/5</f>
        <v>22.434000000000005</v>
      </c>
      <c r="G125" s="130">
        <f>G124/5</f>
        <v>20.734</v>
      </c>
      <c r="H125" s="130">
        <f>H124/5</f>
        <v>96.56</v>
      </c>
      <c r="I125" s="130"/>
      <c r="J125" s="130">
        <f>J124/5</f>
        <v>725.672</v>
      </c>
      <c r="K125" s="130">
        <f>K124/5</f>
        <v>27.555999999999994</v>
      </c>
      <c r="L125" s="130">
        <f>L124/5</f>
        <v>25.671999999999997</v>
      </c>
      <c r="M125" s="130">
        <f>M124/5</f>
        <v>120.61800000000001</v>
      </c>
      <c r="N125" s="130"/>
      <c r="O125" s="130">
        <f>O124/5</f>
        <v>747.826</v>
      </c>
      <c r="P125" s="130">
        <f>P124/5</f>
        <v>38.872</v>
      </c>
      <c r="Q125" s="130">
        <f>Q124/5</f>
        <v>31.381999999999998</v>
      </c>
      <c r="R125" s="130">
        <f>R124/5</f>
        <v>129.80800000000002</v>
      </c>
    </row>
    <row r="126" spans="1:18" ht="15">
      <c r="A126" s="185"/>
      <c r="B126" s="181"/>
      <c r="C126" s="182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</row>
    <row r="127" spans="1:18" ht="19.5" customHeight="1">
      <c r="A127" s="133"/>
      <c r="B127" s="131"/>
      <c r="C127" s="131" t="s">
        <v>46</v>
      </c>
      <c r="D127" s="132"/>
      <c r="E127" s="132" t="s">
        <v>18</v>
      </c>
      <c r="F127" s="132" t="s">
        <v>19</v>
      </c>
      <c r="G127" s="132" t="s">
        <v>20</v>
      </c>
      <c r="H127" s="132" t="s">
        <v>21</v>
      </c>
      <c r="I127" s="132"/>
      <c r="J127" s="132" t="s">
        <v>18</v>
      </c>
      <c r="K127" s="132" t="s">
        <v>19</v>
      </c>
      <c r="L127" s="132" t="s">
        <v>20</v>
      </c>
      <c r="M127" s="132" t="s">
        <v>21</v>
      </c>
      <c r="N127" s="132"/>
      <c r="O127" s="132" t="s">
        <v>18</v>
      </c>
      <c r="P127" s="132" t="s">
        <v>19</v>
      </c>
      <c r="Q127" s="132" t="s">
        <v>20</v>
      </c>
      <c r="R127" s="132" t="s">
        <v>21</v>
      </c>
    </row>
    <row r="128" spans="1:18" ht="21.75" customHeight="1">
      <c r="A128" s="155" t="s">
        <v>47</v>
      </c>
      <c r="B128" s="155"/>
      <c r="C128" s="162" t="s">
        <v>23</v>
      </c>
      <c r="D128" s="156"/>
      <c r="E128" s="156"/>
      <c r="F128" s="156"/>
      <c r="G128" s="156"/>
      <c r="H128" s="156"/>
      <c r="I128" s="157"/>
      <c r="J128" s="156"/>
      <c r="K128" s="156"/>
      <c r="L128" s="156"/>
      <c r="M128" s="156"/>
      <c r="N128" s="157"/>
      <c r="O128" s="156"/>
      <c r="P128" s="156"/>
      <c r="Q128" s="156"/>
      <c r="R128" s="156"/>
    </row>
    <row r="129" spans="1:18" ht="24.75" customHeight="1">
      <c r="A129" s="27" t="s">
        <v>190</v>
      </c>
      <c r="B129" s="48" t="s">
        <v>48</v>
      </c>
      <c r="C129" s="33" t="s">
        <v>272</v>
      </c>
      <c r="D129" s="90">
        <v>200</v>
      </c>
      <c r="E129" s="46">
        <v>129.1</v>
      </c>
      <c r="F129" s="36">
        <v>2.3</v>
      </c>
      <c r="G129" s="36">
        <v>4.4</v>
      </c>
      <c r="H129" s="36">
        <v>20.6</v>
      </c>
      <c r="I129" s="90">
        <v>250</v>
      </c>
      <c r="J129" s="46">
        <v>161.4</v>
      </c>
      <c r="K129" s="36">
        <v>2.9</v>
      </c>
      <c r="L129" s="36">
        <v>5.6</v>
      </c>
      <c r="M129" s="36">
        <v>25.8</v>
      </c>
      <c r="N129" s="90">
        <v>250</v>
      </c>
      <c r="O129" s="46">
        <v>161.4</v>
      </c>
      <c r="P129" s="36">
        <v>2.9</v>
      </c>
      <c r="Q129" s="36">
        <v>5.6</v>
      </c>
      <c r="R129" s="36">
        <v>25.8</v>
      </c>
    </row>
    <row r="130" spans="1:18" ht="25.5" customHeight="1">
      <c r="A130" s="27" t="s">
        <v>200</v>
      </c>
      <c r="B130" s="32" t="s">
        <v>231</v>
      </c>
      <c r="C130" s="32" t="s">
        <v>149</v>
      </c>
      <c r="D130" s="94">
        <v>180</v>
      </c>
      <c r="E130" s="46">
        <v>280</v>
      </c>
      <c r="F130" s="36">
        <v>14.9</v>
      </c>
      <c r="G130" s="36">
        <v>12</v>
      </c>
      <c r="H130" s="36">
        <v>30.3</v>
      </c>
      <c r="I130" s="94">
        <v>250</v>
      </c>
      <c r="J130" s="46">
        <v>388.62</v>
      </c>
      <c r="K130" s="36">
        <v>20.72</v>
      </c>
      <c r="L130" s="36">
        <v>16.69</v>
      </c>
      <c r="M130" s="36">
        <v>42.07</v>
      </c>
      <c r="N130" s="94">
        <v>250</v>
      </c>
      <c r="O130" s="46">
        <v>388.62</v>
      </c>
      <c r="P130" s="36">
        <v>20.72</v>
      </c>
      <c r="Q130" s="36">
        <v>16.69</v>
      </c>
      <c r="R130" s="36">
        <v>42.07</v>
      </c>
    </row>
    <row r="131" spans="1:18" ht="21.75" customHeight="1">
      <c r="A131" s="27" t="s">
        <v>297</v>
      </c>
      <c r="B131" s="32"/>
      <c r="C131" s="33" t="s">
        <v>312</v>
      </c>
      <c r="D131" s="90">
        <v>40</v>
      </c>
      <c r="E131" s="216">
        <v>5.2</v>
      </c>
      <c r="F131" s="35">
        <v>0.32</v>
      </c>
      <c r="G131" s="35">
        <v>0.04</v>
      </c>
      <c r="H131" s="35">
        <v>0.92</v>
      </c>
      <c r="I131" s="90">
        <v>40</v>
      </c>
      <c r="J131" s="216">
        <v>5.2</v>
      </c>
      <c r="K131" s="35">
        <v>0.32</v>
      </c>
      <c r="L131" s="35">
        <v>0.04</v>
      </c>
      <c r="M131" s="35">
        <v>0.92</v>
      </c>
      <c r="N131" s="90">
        <v>40</v>
      </c>
      <c r="O131" s="216">
        <v>5.2</v>
      </c>
      <c r="P131" s="35">
        <v>0.32</v>
      </c>
      <c r="Q131" s="35">
        <v>0.04</v>
      </c>
      <c r="R131" s="35">
        <v>0.92</v>
      </c>
    </row>
    <row r="132" spans="1:18" ht="23.25">
      <c r="A132" s="81" t="s">
        <v>235</v>
      </c>
      <c r="B132" s="197" t="s">
        <v>161</v>
      </c>
      <c r="C132" s="28" t="s">
        <v>128</v>
      </c>
      <c r="D132" s="214">
        <v>30</v>
      </c>
      <c r="E132" s="215">
        <v>68</v>
      </c>
      <c r="F132" s="200" t="s">
        <v>162</v>
      </c>
      <c r="G132" s="200" t="s">
        <v>150</v>
      </c>
      <c r="H132" s="200" t="s">
        <v>163</v>
      </c>
      <c r="I132" s="214">
        <v>50</v>
      </c>
      <c r="J132" s="215">
        <v>113</v>
      </c>
      <c r="K132" s="200" t="s">
        <v>164</v>
      </c>
      <c r="L132" s="200" t="s">
        <v>165</v>
      </c>
      <c r="M132" s="200" t="s">
        <v>166</v>
      </c>
      <c r="N132" s="214">
        <v>50</v>
      </c>
      <c r="O132" s="215">
        <v>113</v>
      </c>
      <c r="P132" s="200" t="s">
        <v>164</v>
      </c>
      <c r="Q132" s="200" t="s">
        <v>165</v>
      </c>
      <c r="R132" s="200" t="s">
        <v>166</v>
      </c>
    </row>
    <row r="133" spans="1:18" ht="23.25">
      <c r="A133" s="27" t="s">
        <v>235</v>
      </c>
      <c r="B133" s="27" t="s">
        <v>25</v>
      </c>
      <c r="C133" s="31" t="s">
        <v>26</v>
      </c>
      <c r="D133" s="92">
        <v>15</v>
      </c>
      <c r="E133" s="30">
        <v>54</v>
      </c>
      <c r="F133" s="30">
        <v>3.5</v>
      </c>
      <c r="G133" s="30">
        <v>4.4</v>
      </c>
      <c r="H133" s="30">
        <v>0</v>
      </c>
      <c r="I133" s="92">
        <v>15</v>
      </c>
      <c r="J133" s="30">
        <v>54</v>
      </c>
      <c r="K133" s="30">
        <v>3.5</v>
      </c>
      <c r="L133" s="30">
        <v>4.4</v>
      </c>
      <c r="M133" s="30">
        <v>0</v>
      </c>
      <c r="N133" s="92">
        <v>15</v>
      </c>
      <c r="O133" s="30">
        <v>54</v>
      </c>
      <c r="P133" s="30">
        <v>3.5</v>
      </c>
      <c r="Q133" s="30">
        <v>4.4</v>
      </c>
      <c r="R133" s="30">
        <v>0</v>
      </c>
    </row>
    <row r="134" spans="1:18" ht="15">
      <c r="A134" s="27" t="s">
        <v>204</v>
      </c>
      <c r="B134" s="27"/>
      <c r="C134" s="31" t="s">
        <v>257</v>
      </c>
      <c r="D134" s="91" t="s">
        <v>252</v>
      </c>
      <c r="E134" s="30">
        <v>0.82</v>
      </c>
      <c r="F134" s="30">
        <v>0</v>
      </c>
      <c r="G134" s="30">
        <v>0</v>
      </c>
      <c r="H134" s="30">
        <v>0.23</v>
      </c>
      <c r="I134" s="91" t="s">
        <v>294</v>
      </c>
      <c r="J134" s="30">
        <v>0.82</v>
      </c>
      <c r="K134" s="30">
        <v>0</v>
      </c>
      <c r="L134" s="30">
        <v>0</v>
      </c>
      <c r="M134" s="30">
        <v>0.23</v>
      </c>
      <c r="N134" s="91" t="s">
        <v>294</v>
      </c>
      <c r="O134" s="30">
        <v>0.82</v>
      </c>
      <c r="P134" s="30">
        <v>0</v>
      </c>
      <c r="Q134" s="30">
        <v>0</v>
      </c>
      <c r="R134" s="30">
        <v>0.23</v>
      </c>
    </row>
    <row r="135" spans="1:18" ht="18" customHeight="1">
      <c r="A135" s="27" t="s">
        <v>205</v>
      </c>
      <c r="B135" s="28"/>
      <c r="C135" s="28" t="s">
        <v>273</v>
      </c>
      <c r="D135" s="86">
        <v>75</v>
      </c>
      <c r="E135" s="30">
        <v>71.3</v>
      </c>
      <c r="F135" s="30">
        <v>1.1</v>
      </c>
      <c r="G135" s="30">
        <v>0.2</v>
      </c>
      <c r="H135" s="30">
        <v>16.4</v>
      </c>
      <c r="I135" s="86">
        <v>75</v>
      </c>
      <c r="J135" s="30">
        <v>71.3</v>
      </c>
      <c r="K135" s="30">
        <v>1.1</v>
      </c>
      <c r="L135" s="30">
        <v>0.2</v>
      </c>
      <c r="M135" s="30">
        <v>16.4</v>
      </c>
      <c r="N135" s="86">
        <v>75</v>
      </c>
      <c r="O135" s="30">
        <v>71.3</v>
      </c>
      <c r="P135" s="30">
        <v>1.1</v>
      </c>
      <c r="Q135" s="30">
        <v>0.2</v>
      </c>
      <c r="R135" s="30">
        <v>16.4</v>
      </c>
    </row>
    <row r="136" spans="1:18" ht="15" customHeight="1">
      <c r="A136" s="138" t="s">
        <v>27</v>
      </c>
      <c r="B136" s="138"/>
      <c r="C136" s="148"/>
      <c r="D136" s="141"/>
      <c r="E136" s="141">
        <f>SUM(E129:E135)</f>
        <v>608.42</v>
      </c>
      <c r="F136" s="141">
        <f>SUM(F129:F135)</f>
        <v>22.12</v>
      </c>
      <c r="G136" s="141">
        <f>SUM(G129:G135)</f>
        <v>21.039999999999996</v>
      </c>
      <c r="H136" s="141">
        <f>SUM(H129:H135)</f>
        <v>68.45</v>
      </c>
      <c r="I136" s="141"/>
      <c r="J136" s="141">
        <f>SUM(J129:J135)</f>
        <v>794.34</v>
      </c>
      <c r="K136" s="141">
        <f>SUM(K129:K135)</f>
        <v>28.54</v>
      </c>
      <c r="L136" s="141">
        <f>SUM(L129:L135)</f>
        <v>26.929999999999996</v>
      </c>
      <c r="M136" s="141">
        <f>SUM(M129:M135)</f>
        <v>85.42000000000002</v>
      </c>
      <c r="N136" s="141"/>
      <c r="O136" s="141">
        <f>SUM(O129:O135)</f>
        <v>794.34</v>
      </c>
      <c r="P136" s="141">
        <f>SUM(P129:P135)</f>
        <v>28.54</v>
      </c>
      <c r="Q136" s="141">
        <f>SUM(Q129:Q135)</f>
        <v>26.929999999999996</v>
      </c>
      <c r="R136" s="141">
        <f>SUM(R129:R135)</f>
        <v>85.42000000000002</v>
      </c>
    </row>
    <row r="137" spans="1:18" ht="19.5" customHeight="1">
      <c r="A137" s="155" t="s">
        <v>49</v>
      </c>
      <c r="B137" s="155"/>
      <c r="C137" s="162" t="s">
        <v>29</v>
      </c>
      <c r="D137" s="156"/>
      <c r="E137" s="156"/>
      <c r="F137" s="156"/>
      <c r="G137" s="156"/>
      <c r="H137" s="156"/>
      <c r="I137" s="157"/>
      <c r="J137" s="156"/>
      <c r="K137" s="156"/>
      <c r="L137" s="156"/>
      <c r="M137" s="156"/>
      <c r="N137" s="157"/>
      <c r="O137" s="156"/>
      <c r="P137" s="156"/>
      <c r="Q137" s="156"/>
      <c r="R137" s="156"/>
    </row>
    <row r="138" spans="1:18" ht="25.5" customHeight="1">
      <c r="A138" s="27" t="s">
        <v>280</v>
      </c>
      <c r="B138" s="28" t="s">
        <v>281</v>
      </c>
      <c r="C138" s="49" t="s">
        <v>270</v>
      </c>
      <c r="D138" s="96">
        <v>200</v>
      </c>
      <c r="E138" s="50">
        <v>107</v>
      </c>
      <c r="F138" s="50">
        <v>2.1</v>
      </c>
      <c r="G138" s="50">
        <v>4.4</v>
      </c>
      <c r="H138" s="50">
        <v>14.5</v>
      </c>
      <c r="I138" s="96">
        <v>200</v>
      </c>
      <c r="J138" s="50">
        <v>107</v>
      </c>
      <c r="K138" s="50">
        <v>2.1</v>
      </c>
      <c r="L138" s="50">
        <v>4.4</v>
      </c>
      <c r="M138" s="50">
        <v>14.5</v>
      </c>
      <c r="N138" s="96">
        <v>250</v>
      </c>
      <c r="O138" s="50">
        <v>133</v>
      </c>
      <c r="P138" s="50">
        <v>2.6</v>
      </c>
      <c r="Q138" s="50">
        <v>5.5</v>
      </c>
      <c r="R138" s="50">
        <v>18.2</v>
      </c>
    </row>
    <row r="139" spans="1:18" ht="15">
      <c r="A139" s="27" t="s">
        <v>197</v>
      </c>
      <c r="B139" s="28" t="s">
        <v>25</v>
      </c>
      <c r="C139" s="31" t="s">
        <v>50</v>
      </c>
      <c r="D139" s="86">
        <v>100</v>
      </c>
      <c r="E139" s="30">
        <v>140</v>
      </c>
      <c r="F139" s="30">
        <v>3.7</v>
      </c>
      <c r="G139" s="30">
        <v>3.3</v>
      </c>
      <c r="H139" s="30">
        <v>23.7</v>
      </c>
      <c r="I139" s="86">
        <v>150</v>
      </c>
      <c r="J139" s="30">
        <v>210</v>
      </c>
      <c r="K139" s="30">
        <v>5.6</v>
      </c>
      <c r="L139" s="30">
        <v>5</v>
      </c>
      <c r="M139" s="30">
        <v>35.5</v>
      </c>
      <c r="N139" s="86">
        <v>150</v>
      </c>
      <c r="O139" s="30">
        <v>210</v>
      </c>
      <c r="P139" s="30">
        <v>5.6</v>
      </c>
      <c r="Q139" s="30">
        <v>5</v>
      </c>
      <c r="R139" s="30">
        <v>35.5</v>
      </c>
    </row>
    <row r="140" spans="1:18" ht="15">
      <c r="A140" s="27" t="s">
        <v>196</v>
      </c>
      <c r="B140" s="48" t="s">
        <v>307</v>
      </c>
      <c r="C140" s="66" t="s">
        <v>262</v>
      </c>
      <c r="D140" s="88">
        <v>75</v>
      </c>
      <c r="E140" s="65">
        <v>188.44</v>
      </c>
      <c r="F140" s="65">
        <v>25.18</v>
      </c>
      <c r="G140" s="65">
        <v>4.02</v>
      </c>
      <c r="H140" s="65">
        <v>12.83</v>
      </c>
      <c r="I140" s="88">
        <v>100</v>
      </c>
      <c r="J140" s="65">
        <v>251.25</v>
      </c>
      <c r="K140" s="65">
        <v>33.57</v>
      </c>
      <c r="L140" s="65">
        <v>5.36</v>
      </c>
      <c r="M140" s="65">
        <v>17.1</v>
      </c>
      <c r="N140" s="88">
        <v>100</v>
      </c>
      <c r="O140" s="65">
        <v>251.25</v>
      </c>
      <c r="P140" s="65">
        <v>33.57</v>
      </c>
      <c r="Q140" s="65">
        <v>5.36</v>
      </c>
      <c r="R140" s="65">
        <v>17.1</v>
      </c>
    </row>
    <row r="141" spans="1:18" ht="15">
      <c r="A141" s="27" t="s">
        <v>285</v>
      </c>
      <c r="B141" s="55"/>
      <c r="C141" s="66" t="s">
        <v>299</v>
      </c>
      <c r="D141" s="88">
        <v>50</v>
      </c>
      <c r="E141" s="77">
        <v>35.08</v>
      </c>
      <c r="F141" s="77">
        <v>0.9</v>
      </c>
      <c r="G141" s="77">
        <v>1.7</v>
      </c>
      <c r="H141" s="77">
        <v>4.3</v>
      </c>
      <c r="I141" s="88">
        <v>50</v>
      </c>
      <c r="J141" s="77">
        <v>35</v>
      </c>
      <c r="K141" s="77">
        <v>0.8</v>
      </c>
      <c r="L141" s="77">
        <v>1.6</v>
      </c>
      <c r="M141" s="77">
        <v>4.5</v>
      </c>
      <c r="N141" s="88">
        <v>75</v>
      </c>
      <c r="O141" s="77">
        <v>53.7</v>
      </c>
      <c r="P141" s="77">
        <v>1.4</v>
      </c>
      <c r="Q141" s="77">
        <v>2.5</v>
      </c>
      <c r="R141" s="77">
        <v>6.5</v>
      </c>
    </row>
    <row r="142" spans="1:18" ht="23.25">
      <c r="A142" s="27" t="s">
        <v>235</v>
      </c>
      <c r="B142" s="27" t="s">
        <v>52</v>
      </c>
      <c r="C142" s="28" t="s">
        <v>128</v>
      </c>
      <c r="D142" s="86">
        <v>30</v>
      </c>
      <c r="E142" s="30">
        <v>68</v>
      </c>
      <c r="F142" s="30">
        <v>1</v>
      </c>
      <c r="G142" s="30">
        <v>0.21</v>
      </c>
      <c r="H142" s="30">
        <v>15</v>
      </c>
      <c r="I142" s="86">
        <v>50</v>
      </c>
      <c r="J142" s="30">
        <v>113</v>
      </c>
      <c r="K142" s="30">
        <v>2</v>
      </c>
      <c r="L142" s="30">
        <v>0.35</v>
      </c>
      <c r="M142" s="30">
        <v>25</v>
      </c>
      <c r="N142" s="86">
        <v>50</v>
      </c>
      <c r="O142" s="30">
        <v>113</v>
      </c>
      <c r="P142" s="30">
        <v>2</v>
      </c>
      <c r="Q142" s="30">
        <v>0.35</v>
      </c>
      <c r="R142" s="30">
        <v>25</v>
      </c>
    </row>
    <row r="143" spans="1:18" ht="23.25">
      <c r="A143" s="27" t="s">
        <v>296</v>
      </c>
      <c r="B143" s="27"/>
      <c r="C143" s="31" t="s">
        <v>295</v>
      </c>
      <c r="D143" s="91">
        <v>180</v>
      </c>
      <c r="E143" s="29">
        <v>38</v>
      </c>
      <c r="F143" s="29">
        <v>0.1</v>
      </c>
      <c r="G143" s="29">
        <v>0</v>
      </c>
      <c r="H143" s="29">
        <v>0.5</v>
      </c>
      <c r="I143" s="91">
        <v>180</v>
      </c>
      <c r="J143" s="29">
        <v>38</v>
      </c>
      <c r="K143" s="29">
        <v>0.1</v>
      </c>
      <c r="L143" s="29">
        <v>0</v>
      </c>
      <c r="M143" s="29">
        <v>0.5</v>
      </c>
      <c r="N143" s="91">
        <v>180</v>
      </c>
      <c r="O143" s="29">
        <v>38</v>
      </c>
      <c r="P143" s="29">
        <v>0.1</v>
      </c>
      <c r="Q143" s="29">
        <v>0</v>
      </c>
      <c r="R143" s="29">
        <v>0.5</v>
      </c>
    </row>
    <row r="144" spans="1:18" ht="24" customHeight="1">
      <c r="A144" s="27" t="s">
        <v>205</v>
      </c>
      <c r="B144" s="28"/>
      <c r="C144" s="28" t="s">
        <v>273</v>
      </c>
      <c r="D144" s="86">
        <v>75</v>
      </c>
      <c r="E144" s="30">
        <v>71.3</v>
      </c>
      <c r="F144" s="30">
        <v>1.1</v>
      </c>
      <c r="G144" s="30">
        <v>0.2</v>
      </c>
      <c r="H144" s="30">
        <v>16.4</v>
      </c>
      <c r="I144" s="86">
        <v>75</v>
      </c>
      <c r="J144" s="30">
        <v>71.3</v>
      </c>
      <c r="K144" s="30">
        <v>1.1</v>
      </c>
      <c r="L144" s="30">
        <v>0.2</v>
      </c>
      <c r="M144" s="30">
        <v>16.4</v>
      </c>
      <c r="N144" s="86">
        <v>75</v>
      </c>
      <c r="O144" s="30">
        <v>71.3</v>
      </c>
      <c r="P144" s="30">
        <v>1.1</v>
      </c>
      <c r="Q144" s="30">
        <v>0.2</v>
      </c>
      <c r="R144" s="30">
        <v>16.4</v>
      </c>
    </row>
    <row r="145" spans="1:18" ht="24" customHeight="1">
      <c r="A145" s="138" t="s">
        <v>27</v>
      </c>
      <c r="B145" s="143"/>
      <c r="C145" s="144"/>
      <c r="D145" s="146"/>
      <c r="E145" s="146">
        <f>SUM(E138:E144)</f>
        <v>647.8199999999999</v>
      </c>
      <c r="F145" s="146">
        <f>SUM(F138:F144)</f>
        <v>34.08</v>
      </c>
      <c r="G145" s="146">
        <f>SUM(G138:G144)</f>
        <v>13.829999999999998</v>
      </c>
      <c r="H145" s="146">
        <f>SUM(H138:H144)</f>
        <v>87.22999999999999</v>
      </c>
      <c r="I145" s="146"/>
      <c r="J145" s="146">
        <f>SUM(J138:J144)</f>
        <v>825.55</v>
      </c>
      <c r="K145" s="146">
        <f>SUM(K138:K144)</f>
        <v>45.269999999999996</v>
      </c>
      <c r="L145" s="146">
        <f>SUM(L138:L144)</f>
        <v>16.910000000000004</v>
      </c>
      <c r="M145" s="146">
        <f>SUM(M138:M144)</f>
        <v>113.5</v>
      </c>
      <c r="N145" s="146"/>
      <c r="O145" s="146">
        <f>SUM(O138:O144)</f>
        <v>870.25</v>
      </c>
      <c r="P145" s="146">
        <f>SUM(P138:P144)</f>
        <v>46.37</v>
      </c>
      <c r="Q145" s="146">
        <f>SUM(Q138:Q144)</f>
        <v>18.91</v>
      </c>
      <c r="R145" s="146">
        <f>SUM(R138:R144)</f>
        <v>119.20000000000002</v>
      </c>
    </row>
    <row r="146" spans="1:18" ht="25.5" customHeight="1">
      <c r="A146" s="155" t="s">
        <v>51</v>
      </c>
      <c r="B146" s="155"/>
      <c r="C146" s="162" t="s">
        <v>32</v>
      </c>
      <c r="D146" s="156"/>
      <c r="E146" s="156"/>
      <c r="F146" s="222"/>
      <c r="G146" s="222"/>
      <c r="H146" s="222"/>
      <c r="I146" s="157"/>
      <c r="J146" s="156"/>
      <c r="K146" s="222"/>
      <c r="L146" s="222"/>
      <c r="M146" s="222"/>
      <c r="N146" s="157"/>
      <c r="O146" s="156"/>
      <c r="P146" s="156"/>
      <c r="Q146" s="156"/>
      <c r="R146" s="156"/>
    </row>
    <row r="147" spans="1:18" ht="21.75" customHeight="1">
      <c r="A147" s="27" t="s">
        <v>287</v>
      </c>
      <c r="B147" s="28" t="s">
        <v>52</v>
      </c>
      <c r="C147" s="49" t="s">
        <v>289</v>
      </c>
      <c r="D147" s="96">
        <v>200</v>
      </c>
      <c r="E147" s="226">
        <v>69</v>
      </c>
      <c r="F147" s="223">
        <v>1.5</v>
      </c>
      <c r="G147" s="223">
        <v>4.2</v>
      </c>
      <c r="H147" s="223">
        <v>5.7</v>
      </c>
      <c r="I147" s="221">
        <v>250</v>
      </c>
      <c r="J147" s="226">
        <v>86</v>
      </c>
      <c r="K147" s="223">
        <v>1.9</v>
      </c>
      <c r="L147" s="223">
        <v>5.3</v>
      </c>
      <c r="M147" s="223">
        <v>7.2</v>
      </c>
      <c r="N147" s="221">
        <v>250</v>
      </c>
      <c r="O147" s="226">
        <v>86</v>
      </c>
      <c r="P147" s="223">
        <v>1.9</v>
      </c>
      <c r="Q147" s="223">
        <v>5.3</v>
      </c>
      <c r="R147" s="223">
        <v>7.2</v>
      </c>
    </row>
    <row r="148" spans="1:18" ht="23.25" customHeight="1">
      <c r="A148" s="81" t="s">
        <v>235</v>
      </c>
      <c r="B148" s="197" t="s">
        <v>161</v>
      </c>
      <c r="C148" s="218" t="s">
        <v>274</v>
      </c>
      <c r="D148" s="214">
        <v>30</v>
      </c>
      <c r="E148" s="215">
        <v>68</v>
      </c>
      <c r="F148" s="200" t="s">
        <v>162</v>
      </c>
      <c r="G148" s="200" t="s">
        <v>150</v>
      </c>
      <c r="H148" s="200" t="s">
        <v>163</v>
      </c>
      <c r="I148" s="214">
        <v>50</v>
      </c>
      <c r="J148" s="215">
        <v>113</v>
      </c>
      <c r="K148" s="224" t="s">
        <v>164</v>
      </c>
      <c r="L148" s="227" t="s">
        <v>165</v>
      </c>
      <c r="M148" s="227" t="s">
        <v>166</v>
      </c>
      <c r="N148" s="225">
        <v>50</v>
      </c>
      <c r="O148" s="215">
        <v>113</v>
      </c>
      <c r="P148" s="200" t="s">
        <v>164</v>
      </c>
      <c r="Q148" s="200" t="s">
        <v>165</v>
      </c>
      <c r="R148" s="200" t="s">
        <v>166</v>
      </c>
    </row>
    <row r="149" spans="1:18" ht="23.25">
      <c r="A149" s="27" t="s">
        <v>275</v>
      </c>
      <c r="B149" s="48" t="s">
        <v>293</v>
      </c>
      <c r="C149" s="66" t="s">
        <v>292</v>
      </c>
      <c r="D149" s="88" t="s">
        <v>263</v>
      </c>
      <c r="E149" s="65">
        <v>263.82</v>
      </c>
      <c r="F149" s="65">
        <v>16.73</v>
      </c>
      <c r="G149" s="65">
        <v>10.44</v>
      </c>
      <c r="H149" s="65">
        <v>20.4</v>
      </c>
      <c r="I149" s="88" t="s">
        <v>263</v>
      </c>
      <c r="J149" s="65">
        <v>263.82</v>
      </c>
      <c r="K149" s="65">
        <v>16.73</v>
      </c>
      <c r="L149" s="65">
        <v>10.44</v>
      </c>
      <c r="M149" s="65">
        <v>20.4</v>
      </c>
      <c r="N149" s="88" t="s">
        <v>263</v>
      </c>
      <c r="O149" s="65">
        <v>263.82</v>
      </c>
      <c r="P149" s="65">
        <v>16.73</v>
      </c>
      <c r="Q149" s="65">
        <v>10.44</v>
      </c>
      <c r="R149" s="65">
        <v>20.4</v>
      </c>
    </row>
    <row r="150" spans="1:18" ht="12.75" customHeight="1">
      <c r="A150" s="80" t="s">
        <v>214</v>
      </c>
      <c r="B150" s="68" t="s">
        <v>33</v>
      </c>
      <c r="C150" s="68" t="s">
        <v>160</v>
      </c>
      <c r="D150" s="100">
        <v>200</v>
      </c>
      <c r="E150" s="205">
        <v>112.48</v>
      </c>
      <c r="F150" s="206">
        <v>6.11</v>
      </c>
      <c r="G150" s="206">
        <v>5.5</v>
      </c>
      <c r="H150" s="206">
        <v>9.85</v>
      </c>
      <c r="I150" s="100">
        <v>200</v>
      </c>
      <c r="J150" s="205">
        <v>112.48</v>
      </c>
      <c r="K150" s="206">
        <v>6.11</v>
      </c>
      <c r="L150" s="206">
        <v>5.5</v>
      </c>
      <c r="M150" s="206">
        <v>9.85</v>
      </c>
      <c r="N150" s="100">
        <v>200</v>
      </c>
      <c r="O150" s="205">
        <v>112.48</v>
      </c>
      <c r="P150" s="206">
        <v>6.11</v>
      </c>
      <c r="Q150" s="206">
        <v>5.5</v>
      </c>
      <c r="R150" s="206">
        <v>9.85</v>
      </c>
    </row>
    <row r="151" spans="1:18" ht="18" customHeight="1">
      <c r="A151" s="27" t="s">
        <v>205</v>
      </c>
      <c r="B151" s="28"/>
      <c r="C151" s="28" t="s">
        <v>273</v>
      </c>
      <c r="D151" s="86">
        <v>75</v>
      </c>
      <c r="E151" s="30">
        <v>71.3</v>
      </c>
      <c r="F151" s="30">
        <v>1.1</v>
      </c>
      <c r="G151" s="30">
        <v>0.2</v>
      </c>
      <c r="H151" s="30">
        <v>16.4</v>
      </c>
      <c r="I151" s="86">
        <v>75</v>
      </c>
      <c r="J151" s="30">
        <v>71.3</v>
      </c>
      <c r="K151" s="30">
        <v>1.1</v>
      </c>
      <c r="L151" s="30">
        <v>0.2</v>
      </c>
      <c r="M151" s="30">
        <v>16.4</v>
      </c>
      <c r="N151" s="86">
        <v>75</v>
      </c>
      <c r="O151" s="30">
        <v>71.3</v>
      </c>
      <c r="P151" s="30">
        <v>1.1</v>
      </c>
      <c r="Q151" s="30">
        <v>0.2</v>
      </c>
      <c r="R151" s="30">
        <v>16.4</v>
      </c>
    </row>
    <row r="152" spans="1:18" ht="20.25" customHeight="1">
      <c r="A152" s="138" t="s">
        <v>27</v>
      </c>
      <c r="B152" s="143"/>
      <c r="C152" s="144"/>
      <c r="D152" s="146"/>
      <c r="E152" s="146">
        <f>SUM(E147:E151)</f>
        <v>584.5999999999999</v>
      </c>
      <c r="F152" s="146">
        <f>SUM(F147:F151)</f>
        <v>25.44</v>
      </c>
      <c r="G152" s="146">
        <f>SUM(G147:G151)</f>
        <v>20.34</v>
      </c>
      <c r="H152" s="146">
        <f>SUM(H147:H151)</f>
        <v>52.349999999999994</v>
      </c>
      <c r="I152" s="146"/>
      <c r="J152" s="146">
        <f>SUM(J147:J151)</f>
        <v>646.5999999999999</v>
      </c>
      <c r="K152" s="146">
        <f>SUM(K147:K151)</f>
        <v>25.84</v>
      </c>
      <c r="L152" s="146">
        <f>SUM(L147:L151)</f>
        <v>21.439999999999998</v>
      </c>
      <c r="M152" s="146">
        <f>SUM(M147:M151)</f>
        <v>53.849999999999994</v>
      </c>
      <c r="N152" s="146"/>
      <c r="O152" s="146">
        <f>SUM(O147:O151)</f>
        <v>646.5999999999999</v>
      </c>
      <c r="P152" s="146">
        <f>SUM(P147:P151)</f>
        <v>25.84</v>
      </c>
      <c r="Q152" s="146">
        <f>SUM(Q147:Q151)</f>
        <v>21.439999999999998</v>
      </c>
      <c r="R152" s="146">
        <f>SUM(R147:R151)</f>
        <v>53.849999999999994</v>
      </c>
    </row>
    <row r="153" spans="1:18" ht="21" customHeight="1">
      <c r="A153" s="254" t="s">
        <v>53</v>
      </c>
      <c r="B153" s="254"/>
      <c r="C153" s="254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</row>
    <row r="154" spans="1:18" ht="15">
      <c r="A154" s="27" t="s">
        <v>188</v>
      </c>
      <c r="B154" s="28"/>
      <c r="C154" s="31" t="s">
        <v>138</v>
      </c>
      <c r="D154" s="86">
        <v>250</v>
      </c>
      <c r="E154" s="30">
        <v>134.5</v>
      </c>
      <c r="F154" s="30">
        <v>5.5</v>
      </c>
      <c r="G154" s="30">
        <v>2.5</v>
      </c>
      <c r="H154" s="30">
        <v>19.2</v>
      </c>
      <c r="I154" s="86">
        <v>250</v>
      </c>
      <c r="J154" s="30">
        <v>134.5</v>
      </c>
      <c r="K154" s="30">
        <v>5.5</v>
      </c>
      <c r="L154" s="30">
        <v>2.5</v>
      </c>
      <c r="M154" s="30">
        <v>19.2</v>
      </c>
      <c r="N154" s="86">
        <v>250</v>
      </c>
      <c r="O154" s="30">
        <v>134.5</v>
      </c>
      <c r="P154" s="30">
        <v>5.5</v>
      </c>
      <c r="Q154" s="30">
        <v>2.5</v>
      </c>
      <c r="R154" s="30">
        <v>19.2</v>
      </c>
    </row>
    <row r="155" spans="1:18" ht="17.25" customHeight="1">
      <c r="A155" s="196" t="s">
        <v>278</v>
      </c>
      <c r="B155" s="197"/>
      <c r="C155" s="218" t="s">
        <v>291</v>
      </c>
      <c r="D155" s="214">
        <v>150</v>
      </c>
      <c r="E155" s="215">
        <v>154.5</v>
      </c>
      <c r="F155" s="200">
        <v>3.3</v>
      </c>
      <c r="G155" s="200">
        <v>5.85</v>
      </c>
      <c r="H155" s="200">
        <v>21.3</v>
      </c>
      <c r="I155" s="214">
        <v>150</v>
      </c>
      <c r="J155" s="215">
        <v>154.5</v>
      </c>
      <c r="K155" s="200">
        <v>3.3</v>
      </c>
      <c r="L155" s="200">
        <v>5.85</v>
      </c>
      <c r="M155" s="200">
        <v>21.3</v>
      </c>
      <c r="N155" s="214">
        <v>150</v>
      </c>
      <c r="O155" s="215">
        <v>154.5</v>
      </c>
      <c r="P155" s="200">
        <v>3.3</v>
      </c>
      <c r="Q155" s="200">
        <v>5.85</v>
      </c>
      <c r="R155" s="200">
        <v>21.3</v>
      </c>
    </row>
    <row r="156" spans="1:18" ht="15">
      <c r="A156" s="27" t="s">
        <v>210</v>
      </c>
      <c r="B156" s="32" t="s">
        <v>54</v>
      </c>
      <c r="C156" s="32" t="s">
        <v>55</v>
      </c>
      <c r="D156" s="90">
        <v>70</v>
      </c>
      <c r="E156" s="34">
        <v>119</v>
      </c>
      <c r="F156" s="35">
        <v>11.3</v>
      </c>
      <c r="G156" s="35">
        <v>1.3</v>
      </c>
      <c r="H156" s="35">
        <v>12.7</v>
      </c>
      <c r="I156" s="90">
        <v>70</v>
      </c>
      <c r="J156" s="45">
        <v>119</v>
      </c>
      <c r="K156" s="35">
        <v>11.3</v>
      </c>
      <c r="L156" s="35">
        <v>1.3</v>
      </c>
      <c r="M156" s="35">
        <v>12.7</v>
      </c>
      <c r="N156" s="90">
        <v>100</v>
      </c>
      <c r="O156" s="45">
        <v>171</v>
      </c>
      <c r="P156" s="35">
        <v>17</v>
      </c>
      <c r="Q156" s="35">
        <v>3.2</v>
      </c>
      <c r="R156" s="35">
        <v>21.7</v>
      </c>
    </row>
    <row r="157" spans="1:18" ht="30" customHeight="1">
      <c r="A157" s="27" t="s">
        <v>279</v>
      </c>
      <c r="B157" s="27"/>
      <c r="C157" s="66" t="s">
        <v>310</v>
      </c>
      <c r="D157" s="88">
        <v>50</v>
      </c>
      <c r="E157" s="65">
        <v>40.61</v>
      </c>
      <c r="F157" s="65">
        <v>0.8</v>
      </c>
      <c r="G157" s="65">
        <v>2.5</v>
      </c>
      <c r="H157" s="65">
        <v>4.02</v>
      </c>
      <c r="I157" s="88">
        <v>50</v>
      </c>
      <c r="J157" s="65">
        <v>40.61</v>
      </c>
      <c r="K157" s="65">
        <v>0.8</v>
      </c>
      <c r="L157" s="65">
        <v>2.5</v>
      </c>
      <c r="M157" s="65">
        <v>4.02</v>
      </c>
      <c r="N157" s="88">
        <v>50</v>
      </c>
      <c r="O157" s="65">
        <v>40.61</v>
      </c>
      <c r="P157" s="65">
        <v>0.8</v>
      </c>
      <c r="Q157" s="65">
        <v>2.5</v>
      </c>
      <c r="R157" s="65">
        <v>4.02</v>
      </c>
    </row>
    <row r="158" spans="1:18" ht="15">
      <c r="A158" s="27" t="s">
        <v>216</v>
      </c>
      <c r="B158" s="40"/>
      <c r="C158" s="32" t="s">
        <v>260</v>
      </c>
      <c r="D158" s="102">
        <v>150</v>
      </c>
      <c r="E158" s="84">
        <v>80.8</v>
      </c>
      <c r="F158" s="85">
        <v>0.2</v>
      </c>
      <c r="G158" s="85">
        <v>0.7</v>
      </c>
      <c r="H158" s="85">
        <v>18.7</v>
      </c>
      <c r="I158" s="90">
        <v>200</v>
      </c>
      <c r="J158" s="45">
        <v>108</v>
      </c>
      <c r="K158" s="35">
        <v>0.3</v>
      </c>
      <c r="L158" s="35">
        <v>0.9</v>
      </c>
      <c r="M158" s="35">
        <v>24.9</v>
      </c>
      <c r="N158" s="94">
        <v>200</v>
      </c>
      <c r="O158" s="45">
        <v>108</v>
      </c>
      <c r="P158" s="35">
        <v>0.3</v>
      </c>
      <c r="Q158" s="35">
        <v>0.9</v>
      </c>
      <c r="R158" s="35">
        <v>24.9</v>
      </c>
    </row>
    <row r="159" spans="1:18" ht="15">
      <c r="A159" s="27" t="s">
        <v>205</v>
      </c>
      <c r="B159" s="28"/>
      <c r="C159" s="28" t="s">
        <v>273</v>
      </c>
      <c r="D159" s="86">
        <v>75</v>
      </c>
      <c r="E159" s="30">
        <v>71.3</v>
      </c>
      <c r="F159" s="30">
        <v>1.1</v>
      </c>
      <c r="G159" s="30">
        <v>0.2</v>
      </c>
      <c r="H159" s="30">
        <v>16.4</v>
      </c>
      <c r="I159" s="86">
        <v>75</v>
      </c>
      <c r="J159" s="30">
        <v>71.3</v>
      </c>
      <c r="K159" s="30">
        <v>1.1</v>
      </c>
      <c r="L159" s="30">
        <v>0.2</v>
      </c>
      <c r="M159" s="30">
        <v>16.4</v>
      </c>
      <c r="N159" s="86">
        <v>75</v>
      </c>
      <c r="O159" s="30">
        <v>71.3</v>
      </c>
      <c r="P159" s="30">
        <v>1.1</v>
      </c>
      <c r="Q159" s="30">
        <v>0.2</v>
      </c>
      <c r="R159" s="30">
        <v>16.4</v>
      </c>
    </row>
    <row r="160" spans="1:18" ht="30.75" customHeight="1">
      <c r="A160" s="138" t="s">
        <v>27</v>
      </c>
      <c r="B160" s="139"/>
      <c r="C160" s="140"/>
      <c r="D160" s="141"/>
      <c r="E160" s="141">
        <f>SUM(E154:E159)</f>
        <v>600.7099999999999</v>
      </c>
      <c r="F160" s="141">
        <f>SUM(F154:F159)</f>
        <v>22.200000000000003</v>
      </c>
      <c r="G160" s="141">
        <f>SUM(G154:G159)</f>
        <v>13.049999999999999</v>
      </c>
      <c r="H160" s="141">
        <f>SUM(H154:H159)</f>
        <v>92.32</v>
      </c>
      <c r="I160" s="141"/>
      <c r="J160" s="141">
        <f>SUM(J154:J159)</f>
        <v>627.91</v>
      </c>
      <c r="K160" s="141">
        <f>SUM(K153:K159)</f>
        <v>22.300000000000004</v>
      </c>
      <c r="L160" s="141">
        <f>SUM(L153:L159)</f>
        <v>13.25</v>
      </c>
      <c r="M160" s="141">
        <f>SUM(M153:M159)</f>
        <v>98.52000000000001</v>
      </c>
      <c r="N160" s="141"/>
      <c r="O160" s="141">
        <f>SUM(O153:O159)</f>
        <v>679.91</v>
      </c>
      <c r="P160" s="141">
        <f>SUM(P153:P159)</f>
        <v>28.000000000000004</v>
      </c>
      <c r="Q160" s="141">
        <f>SUM(Q153:Q159)</f>
        <v>15.15</v>
      </c>
      <c r="R160" s="141">
        <f>SUM(R153:R159)</f>
        <v>107.52000000000001</v>
      </c>
    </row>
    <row r="161" spans="1:18" ht="15">
      <c r="A161" s="155" t="s">
        <v>56</v>
      </c>
      <c r="B161" s="155"/>
      <c r="C161" s="162" t="s">
        <v>37</v>
      </c>
      <c r="D161" s="156"/>
      <c r="E161" s="156"/>
      <c r="F161" s="156"/>
      <c r="G161" s="156"/>
      <c r="H161" s="156"/>
      <c r="I161" s="157"/>
      <c r="J161" s="156"/>
      <c r="K161" s="156"/>
      <c r="L161" s="156"/>
      <c r="M161" s="156"/>
      <c r="N161" s="157"/>
      <c r="O161" s="156"/>
      <c r="P161" s="156"/>
      <c r="Q161" s="156"/>
      <c r="R161" s="156"/>
    </row>
    <row r="162" spans="1:18" ht="25.5" customHeight="1">
      <c r="A162" s="27" t="s">
        <v>314</v>
      </c>
      <c r="B162" s="28" t="s">
        <v>281</v>
      </c>
      <c r="C162" s="33" t="s">
        <v>313</v>
      </c>
      <c r="D162" s="93" t="s">
        <v>252</v>
      </c>
      <c r="E162" s="46">
        <v>94.09</v>
      </c>
      <c r="F162" s="36">
        <v>2.14</v>
      </c>
      <c r="G162" s="36">
        <v>3.3</v>
      </c>
      <c r="H162" s="36">
        <v>14.21</v>
      </c>
      <c r="I162" s="93" t="s">
        <v>252</v>
      </c>
      <c r="J162" s="46">
        <v>94.09</v>
      </c>
      <c r="K162" s="36">
        <v>2.14</v>
      </c>
      <c r="L162" s="36">
        <v>3.3</v>
      </c>
      <c r="M162" s="36">
        <v>14.21</v>
      </c>
      <c r="N162" s="93" t="s">
        <v>252</v>
      </c>
      <c r="O162" s="46">
        <v>94.09</v>
      </c>
      <c r="P162" s="36">
        <v>2.14</v>
      </c>
      <c r="Q162" s="36">
        <v>3.3</v>
      </c>
      <c r="R162" s="36">
        <v>14.21</v>
      </c>
    </row>
    <row r="163" spans="1:18" ht="23.25">
      <c r="A163" s="27" t="s">
        <v>196</v>
      </c>
      <c r="B163" s="47" t="s">
        <v>44</v>
      </c>
      <c r="C163" s="66" t="s">
        <v>40</v>
      </c>
      <c r="D163" s="88">
        <v>120</v>
      </c>
      <c r="E163" s="65">
        <v>132.7</v>
      </c>
      <c r="F163" s="65">
        <v>4.1</v>
      </c>
      <c r="G163" s="65">
        <v>3.1</v>
      </c>
      <c r="H163" s="65">
        <v>24.1</v>
      </c>
      <c r="I163" s="88">
        <v>120</v>
      </c>
      <c r="J163" s="65">
        <v>132.7</v>
      </c>
      <c r="K163" s="65">
        <v>4.1</v>
      </c>
      <c r="L163" s="65">
        <v>3.1</v>
      </c>
      <c r="M163" s="65">
        <v>24.1</v>
      </c>
      <c r="N163" s="88">
        <v>150</v>
      </c>
      <c r="O163" s="65">
        <v>165.8</v>
      </c>
      <c r="P163" s="65">
        <v>5.2</v>
      </c>
      <c r="Q163" s="65">
        <v>3.9</v>
      </c>
      <c r="R163" s="65">
        <v>30.1</v>
      </c>
    </row>
    <row r="164" spans="1:18" ht="17.25" customHeight="1">
      <c r="A164" s="27" t="s">
        <v>213</v>
      </c>
      <c r="B164" s="28" t="s">
        <v>24</v>
      </c>
      <c r="C164" s="31" t="s">
        <v>172</v>
      </c>
      <c r="D164" s="86">
        <v>40</v>
      </c>
      <c r="E164" s="30">
        <v>63</v>
      </c>
      <c r="F164" s="30">
        <v>5.1</v>
      </c>
      <c r="G164" s="30">
        <v>4.6</v>
      </c>
      <c r="H164" s="30">
        <v>0.3</v>
      </c>
      <c r="I164" s="86">
        <v>40</v>
      </c>
      <c r="J164" s="30">
        <v>63</v>
      </c>
      <c r="K164" s="30">
        <v>5.1</v>
      </c>
      <c r="L164" s="30">
        <v>4.6</v>
      </c>
      <c r="M164" s="30">
        <v>0.3</v>
      </c>
      <c r="N164" s="86">
        <v>40</v>
      </c>
      <c r="O164" s="30">
        <v>63</v>
      </c>
      <c r="P164" s="30">
        <v>5.1</v>
      </c>
      <c r="Q164" s="30">
        <v>4.6</v>
      </c>
      <c r="R164" s="30">
        <v>0.3</v>
      </c>
    </row>
    <row r="165" spans="1:18" ht="22.5">
      <c r="A165" s="27" t="s">
        <v>202</v>
      </c>
      <c r="B165" s="47" t="s">
        <v>48</v>
      </c>
      <c r="C165" s="49" t="s">
        <v>300</v>
      </c>
      <c r="D165" s="96">
        <v>50</v>
      </c>
      <c r="E165" s="50">
        <v>41.4</v>
      </c>
      <c r="F165" s="50">
        <v>0.9</v>
      </c>
      <c r="G165" s="50">
        <v>1.1</v>
      </c>
      <c r="H165" s="50">
        <v>7.1</v>
      </c>
      <c r="I165" s="96">
        <v>100</v>
      </c>
      <c r="J165" s="50">
        <v>82.83</v>
      </c>
      <c r="K165" s="50">
        <v>1.77</v>
      </c>
      <c r="L165" s="50">
        <v>2.21</v>
      </c>
      <c r="M165" s="50">
        <v>14.15</v>
      </c>
      <c r="N165" s="96">
        <v>100</v>
      </c>
      <c r="O165" s="50">
        <v>82.83</v>
      </c>
      <c r="P165" s="50">
        <v>1.77</v>
      </c>
      <c r="Q165" s="50">
        <v>2.21</v>
      </c>
      <c r="R165" s="50">
        <v>14.15</v>
      </c>
    </row>
    <row r="166" spans="1:18" ht="23.25">
      <c r="A166" s="27" t="s">
        <v>235</v>
      </c>
      <c r="B166" s="56"/>
      <c r="C166" s="47" t="s">
        <v>194</v>
      </c>
      <c r="D166" s="99">
        <v>200</v>
      </c>
      <c r="E166" s="48">
        <v>132</v>
      </c>
      <c r="F166" s="48">
        <v>0</v>
      </c>
      <c r="G166" s="48">
        <v>0</v>
      </c>
      <c r="H166" s="48">
        <v>32</v>
      </c>
      <c r="I166" s="99">
        <v>200</v>
      </c>
      <c r="J166" s="48">
        <v>132</v>
      </c>
      <c r="K166" s="48">
        <v>0</v>
      </c>
      <c r="L166" s="48">
        <v>0</v>
      </c>
      <c r="M166" s="48">
        <v>32</v>
      </c>
      <c r="N166" s="99">
        <v>200</v>
      </c>
      <c r="O166" s="48">
        <v>132</v>
      </c>
      <c r="P166" s="48">
        <v>0</v>
      </c>
      <c r="Q166" s="48">
        <v>0</v>
      </c>
      <c r="R166" s="48">
        <v>32</v>
      </c>
    </row>
    <row r="167" spans="1:18" ht="15">
      <c r="A167" s="27" t="s">
        <v>205</v>
      </c>
      <c r="B167" s="33"/>
      <c r="C167" s="28" t="s">
        <v>273</v>
      </c>
      <c r="D167" s="86">
        <v>75</v>
      </c>
      <c r="E167" s="30">
        <v>71.3</v>
      </c>
      <c r="F167" s="30">
        <v>1.1</v>
      </c>
      <c r="G167" s="30">
        <v>0.2</v>
      </c>
      <c r="H167" s="30">
        <v>16.4</v>
      </c>
      <c r="I167" s="86">
        <v>75</v>
      </c>
      <c r="J167" s="30">
        <v>71.3</v>
      </c>
      <c r="K167" s="30">
        <v>1.1</v>
      </c>
      <c r="L167" s="30">
        <v>0.2</v>
      </c>
      <c r="M167" s="30">
        <v>16.4</v>
      </c>
      <c r="N167" s="86">
        <v>75</v>
      </c>
      <c r="O167" s="30">
        <v>71.3</v>
      </c>
      <c r="P167" s="30">
        <v>1.1</v>
      </c>
      <c r="Q167" s="30">
        <v>0.2</v>
      </c>
      <c r="R167" s="30">
        <v>16.4</v>
      </c>
    </row>
    <row r="168" spans="1:18" ht="19.5" customHeight="1">
      <c r="A168" s="138" t="s">
        <v>27</v>
      </c>
      <c r="B168" s="139"/>
      <c r="C168" s="140"/>
      <c r="D168" s="141"/>
      <c r="E168" s="141">
        <f>SUM(E162:E167)</f>
        <v>534.4899999999999</v>
      </c>
      <c r="F168" s="141">
        <f>SUM(F162:F167)</f>
        <v>13.34</v>
      </c>
      <c r="G168" s="141">
        <f>SUM(G162:G167)</f>
        <v>12.299999999999999</v>
      </c>
      <c r="H168" s="141">
        <f>SUM(H162:H167)</f>
        <v>94.11000000000001</v>
      </c>
      <c r="I168" s="141"/>
      <c r="J168" s="141">
        <f>SUM(J162:J167)</f>
        <v>575.92</v>
      </c>
      <c r="K168" s="141">
        <f>SUM(K162:K167)</f>
        <v>14.209999999999999</v>
      </c>
      <c r="L168" s="141">
        <f>SUM(L162:L167)</f>
        <v>13.41</v>
      </c>
      <c r="M168" s="141">
        <f>SUM(M162:M167)</f>
        <v>101.16</v>
      </c>
      <c r="N168" s="141"/>
      <c r="O168" s="141">
        <f>SUM(O162:O167)</f>
        <v>609.02</v>
      </c>
      <c r="P168" s="141">
        <f>SUM(P162:P167)</f>
        <v>15.309999999999999</v>
      </c>
      <c r="Q168" s="141">
        <f>SUM(Q162:Q167)</f>
        <v>14.209999999999997</v>
      </c>
      <c r="R168" s="141">
        <f>SUM(R162:R167)</f>
        <v>107.16</v>
      </c>
    </row>
    <row r="169" spans="1:18" ht="18" customHeight="1">
      <c r="A169" s="248" t="s">
        <v>241</v>
      </c>
      <c r="B169" s="249"/>
      <c r="C169" s="250"/>
      <c r="D169" s="130"/>
      <c r="E169" s="130">
        <f>E136+E145+E152+E160+E168</f>
        <v>2976.0399999999995</v>
      </c>
      <c r="F169" s="130">
        <f>F136+F145+F152+F160+F168</f>
        <v>117.18</v>
      </c>
      <c r="G169" s="130">
        <f>G136+G145+G152+G160+G168</f>
        <v>80.55999999999999</v>
      </c>
      <c r="H169" s="130">
        <f>H136+H145+H152+H160+H168</f>
        <v>394.46000000000004</v>
      </c>
      <c r="I169" s="130"/>
      <c r="J169" s="130">
        <f>J136+J145+J152+J160+J168</f>
        <v>3470.3199999999997</v>
      </c>
      <c r="K169" s="130">
        <f>K136+K145+K152+K160+K168</f>
        <v>136.16000000000003</v>
      </c>
      <c r="L169" s="130">
        <f>L136+L145+L152+L160+L168</f>
        <v>91.94</v>
      </c>
      <c r="M169" s="130">
        <f>M136+M145+M152+M160+M168</f>
        <v>452.45000000000005</v>
      </c>
      <c r="N169" s="130"/>
      <c r="O169" s="130">
        <f>O136+O145+O152+O160+O168</f>
        <v>3600.12</v>
      </c>
      <c r="P169" s="130">
        <f>P136+P145+P152+P160+P168</f>
        <v>144.06</v>
      </c>
      <c r="Q169" s="130">
        <f>Q136+Q145+Q152+Q160+Q168</f>
        <v>96.64</v>
      </c>
      <c r="R169" s="130">
        <f>R136+R145+R152+R160+R168</f>
        <v>473.15</v>
      </c>
    </row>
    <row r="170" spans="1:18" ht="18" customHeight="1">
      <c r="A170" s="248" t="s">
        <v>240</v>
      </c>
      <c r="B170" s="249"/>
      <c r="C170" s="250"/>
      <c r="D170" s="130"/>
      <c r="E170" s="130">
        <f>E169/5</f>
        <v>595.2079999999999</v>
      </c>
      <c r="F170" s="130">
        <f>F169/5</f>
        <v>23.436</v>
      </c>
      <c r="G170" s="130">
        <f>G169/5</f>
        <v>16.112</v>
      </c>
      <c r="H170" s="130">
        <f>H169/5</f>
        <v>78.89200000000001</v>
      </c>
      <c r="I170" s="130"/>
      <c r="J170" s="130">
        <f>J169/5</f>
        <v>694.064</v>
      </c>
      <c r="K170" s="130">
        <f>K169/5</f>
        <v>27.232000000000006</v>
      </c>
      <c r="L170" s="130">
        <f>L169/5</f>
        <v>18.387999999999998</v>
      </c>
      <c r="M170" s="130">
        <f>M169/5</f>
        <v>90.49000000000001</v>
      </c>
      <c r="N170" s="130"/>
      <c r="O170" s="130">
        <f>O169/5</f>
        <v>720.024</v>
      </c>
      <c r="P170" s="130">
        <f>P169/5</f>
        <v>28.812</v>
      </c>
      <c r="Q170" s="130">
        <f>Q169/5</f>
        <v>19.328</v>
      </c>
      <c r="R170" s="130">
        <f>R169/5</f>
        <v>94.63</v>
      </c>
    </row>
    <row r="171" spans="1:18" ht="15">
      <c r="A171" s="185"/>
      <c r="B171" s="181"/>
      <c r="C171" s="182"/>
      <c r="D171" s="186"/>
      <c r="E171" s="186"/>
      <c r="F171" s="186"/>
      <c r="G171" s="186"/>
      <c r="H171" s="186"/>
      <c r="I171" s="193"/>
      <c r="J171" s="186"/>
      <c r="K171" s="186"/>
      <c r="L171" s="186"/>
      <c r="M171" s="186"/>
      <c r="N171" s="186"/>
      <c r="O171" s="186"/>
      <c r="P171" s="186"/>
      <c r="Q171" s="186"/>
      <c r="R171" s="186"/>
    </row>
    <row r="172" spans="1:18" ht="31.5">
      <c r="A172" s="131"/>
      <c r="B172" s="131"/>
      <c r="C172" s="131" t="s">
        <v>57</v>
      </c>
      <c r="D172" s="131"/>
      <c r="E172" s="132" t="s">
        <v>18</v>
      </c>
      <c r="F172" s="132" t="s">
        <v>19</v>
      </c>
      <c r="G172" s="132" t="s">
        <v>20</v>
      </c>
      <c r="H172" s="132" t="s">
        <v>21</v>
      </c>
      <c r="I172" s="131"/>
      <c r="J172" s="131" t="s">
        <v>18</v>
      </c>
      <c r="K172" s="131" t="s">
        <v>19</v>
      </c>
      <c r="L172" s="131" t="s">
        <v>20</v>
      </c>
      <c r="M172" s="131" t="s">
        <v>21</v>
      </c>
      <c r="N172" s="131"/>
      <c r="O172" s="132" t="s">
        <v>18</v>
      </c>
      <c r="P172" s="132" t="s">
        <v>19</v>
      </c>
      <c r="Q172" s="132" t="s">
        <v>20</v>
      </c>
      <c r="R172" s="132" t="s">
        <v>21</v>
      </c>
    </row>
    <row r="173" spans="1:18" ht="15">
      <c r="A173" s="245" t="s">
        <v>58</v>
      </c>
      <c r="B173" s="246"/>
      <c r="C173" s="247"/>
      <c r="D173" s="163" t="s">
        <v>59</v>
      </c>
      <c r="E173" s="164"/>
      <c r="F173" s="156"/>
      <c r="G173" s="156"/>
      <c r="H173" s="156"/>
      <c r="I173" s="158"/>
      <c r="J173" s="164"/>
      <c r="K173" s="164"/>
      <c r="L173" s="164"/>
      <c r="M173" s="164"/>
      <c r="N173" s="158"/>
      <c r="O173" s="156"/>
      <c r="P173" s="156"/>
      <c r="Q173" s="156"/>
      <c r="R173" s="156"/>
    </row>
    <row r="174" spans="1:18" ht="15">
      <c r="A174" s="27" t="s">
        <v>189</v>
      </c>
      <c r="B174" s="28" t="s">
        <v>219</v>
      </c>
      <c r="C174" s="44" t="s">
        <v>148</v>
      </c>
      <c r="D174" s="90">
        <v>200</v>
      </c>
      <c r="E174" s="46">
        <v>93</v>
      </c>
      <c r="F174" s="36">
        <v>2</v>
      </c>
      <c r="G174" s="36">
        <v>1.8</v>
      </c>
      <c r="H174" s="45">
        <v>16.9</v>
      </c>
      <c r="I174" s="90">
        <v>200</v>
      </c>
      <c r="J174" s="46">
        <v>93</v>
      </c>
      <c r="K174" s="36">
        <v>2</v>
      </c>
      <c r="L174" s="36">
        <v>1.8</v>
      </c>
      <c r="M174" s="45">
        <v>16.9</v>
      </c>
      <c r="N174" s="90">
        <v>250</v>
      </c>
      <c r="O174" s="46">
        <v>152.8</v>
      </c>
      <c r="P174" s="36">
        <v>3</v>
      </c>
      <c r="Q174" s="36">
        <v>4.3</v>
      </c>
      <c r="R174" s="45">
        <v>25.2</v>
      </c>
    </row>
    <row r="175" spans="1:18" ht="15">
      <c r="A175" s="80" t="s">
        <v>201</v>
      </c>
      <c r="B175" s="67" t="s">
        <v>33</v>
      </c>
      <c r="C175" s="67" t="s">
        <v>173</v>
      </c>
      <c r="D175" s="101">
        <v>180</v>
      </c>
      <c r="E175" s="79">
        <v>270</v>
      </c>
      <c r="F175" s="69" t="s">
        <v>151</v>
      </c>
      <c r="G175" s="69" t="s">
        <v>174</v>
      </c>
      <c r="H175" s="69" t="s">
        <v>175</v>
      </c>
      <c r="I175" s="101">
        <v>180</v>
      </c>
      <c r="J175" s="79">
        <v>270</v>
      </c>
      <c r="K175" s="69" t="s">
        <v>151</v>
      </c>
      <c r="L175" s="69" t="s">
        <v>174</v>
      </c>
      <c r="M175" s="69" t="s">
        <v>175</v>
      </c>
      <c r="N175" s="101">
        <v>250</v>
      </c>
      <c r="O175" s="79">
        <v>375</v>
      </c>
      <c r="P175" s="69" t="s">
        <v>176</v>
      </c>
      <c r="Q175" s="69" t="s">
        <v>177</v>
      </c>
      <c r="R175" s="69" t="s">
        <v>178</v>
      </c>
    </row>
    <row r="176" spans="1:18" s="11" customFormat="1" ht="15">
      <c r="A176" s="81" t="s">
        <v>277</v>
      </c>
      <c r="B176" s="202"/>
      <c r="C176" s="166" t="s">
        <v>258</v>
      </c>
      <c r="D176" s="203">
        <v>75</v>
      </c>
      <c r="E176" s="204">
        <v>47.4</v>
      </c>
      <c r="F176" s="204">
        <v>0.8</v>
      </c>
      <c r="G176" s="204">
        <v>2.4</v>
      </c>
      <c r="H176" s="204">
        <v>5.6</v>
      </c>
      <c r="I176" s="203">
        <v>75</v>
      </c>
      <c r="J176" s="204">
        <v>47.4</v>
      </c>
      <c r="K176" s="204">
        <v>0.8</v>
      </c>
      <c r="L176" s="204">
        <v>2.4</v>
      </c>
      <c r="M176" s="204">
        <v>5.6</v>
      </c>
      <c r="N176" s="203">
        <v>100</v>
      </c>
      <c r="O176" s="204">
        <v>63.14</v>
      </c>
      <c r="P176" s="204">
        <v>1.03</v>
      </c>
      <c r="Q176" s="204">
        <v>3.21</v>
      </c>
      <c r="R176" s="204">
        <v>7.51</v>
      </c>
    </row>
    <row r="177" spans="1:18" s="11" customFormat="1" ht="18" customHeight="1">
      <c r="A177" s="27" t="s">
        <v>235</v>
      </c>
      <c r="B177" s="27" t="s">
        <v>52</v>
      </c>
      <c r="C177" s="28" t="s">
        <v>128</v>
      </c>
      <c r="D177" s="86">
        <v>30</v>
      </c>
      <c r="E177" s="30">
        <v>68</v>
      </c>
      <c r="F177" s="30">
        <v>1</v>
      </c>
      <c r="G177" s="30">
        <v>0.21</v>
      </c>
      <c r="H177" s="30">
        <v>15</v>
      </c>
      <c r="I177" s="86">
        <v>50</v>
      </c>
      <c r="J177" s="30">
        <v>113</v>
      </c>
      <c r="K177" s="30">
        <v>2</v>
      </c>
      <c r="L177" s="30">
        <v>0.35</v>
      </c>
      <c r="M177" s="30">
        <v>25</v>
      </c>
      <c r="N177" s="86">
        <v>50</v>
      </c>
      <c r="O177" s="30">
        <v>113</v>
      </c>
      <c r="P177" s="30">
        <v>2</v>
      </c>
      <c r="Q177" s="30">
        <v>0.35</v>
      </c>
      <c r="R177" s="30">
        <v>25</v>
      </c>
    </row>
    <row r="178" spans="1:18" s="11" customFormat="1" ht="23.25">
      <c r="A178" s="27" t="s">
        <v>235</v>
      </c>
      <c r="B178" s="27" t="s">
        <v>25</v>
      </c>
      <c r="C178" s="31" t="s">
        <v>26</v>
      </c>
      <c r="D178" s="92">
        <v>15</v>
      </c>
      <c r="E178" s="30">
        <v>54</v>
      </c>
      <c r="F178" s="30">
        <v>3.5</v>
      </c>
      <c r="G178" s="30">
        <v>4.4</v>
      </c>
      <c r="H178" s="30">
        <v>0</v>
      </c>
      <c r="I178" s="92">
        <v>15</v>
      </c>
      <c r="J178" s="30">
        <v>54</v>
      </c>
      <c r="K178" s="30">
        <v>3.5</v>
      </c>
      <c r="L178" s="30">
        <v>4.4</v>
      </c>
      <c r="M178" s="30">
        <v>0</v>
      </c>
      <c r="N178" s="92">
        <v>15</v>
      </c>
      <c r="O178" s="30">
        <v>54</v>
      </c>
      <c r="P178" s="30">
        <v>3.5</v>
      </c>
      <c r="Q178" s="30">
        <v>4.4</v>
      </c>
      <c r="R178" s="30">
        <v>0</v>
      </c>
    </row>
    <row r="179" spans="1:18" s="11" customFormat="1" ht="15">
      <c r="A179" s="27" t="s">
        <v>204</v>
      </c>
      <c r="B179" s="27"/>
      <c r="C179" s="31" t="s">
        <v>257</v>
      </c>
      <c r="D179" s="91" t="s">
        <v>252</v>
      </c>
      <c r="E179" s="30">
        <v>0.82</v>
      </c>
      <c r="F179" s="30">
        <v>0</v>
      </c>
      <c r="G179" s="30">
        <v>0</v>
      </c>
      <c r="H179" s="30">
        <v>0.23</v>
      </c>
      <c r="I179" s="91" t="s">
        <v>294</v>
      </c>
      <c r="J179" s="30">
        <v>0.82</v>
      </c>
      <c r="K179" s="30">
        <v>0</v>
      </c>
      <c r="L179" s="30">
        <v>0</v>
      </c>
      <c r="M179" s="30">
        <v>0.23</v>
      </c>
      <c r="N179" s="91" t="s">
        <v>294</v>
      </c>
      <c r="O179" s="30">
        <v>0.82</v>
      </c>
      <c r="P179" s="30">
        <v>0</v>
      </c>
      <c r="Q179" s="30">
        <v>0</v>
      </c>
      <c r="R179" s="30">
        <v>0.23</v>
      </c>
    </row>
    <row r="180" spans="1:18" ht="15">
      <c r="A180" s="27" t="s">
        <v>205</v>
      </c>
      <c r="B180" s="33"/>
      <c r="C180" s="28" t="s">
        <v>273</v>
      </c>
      <c r="D180" s="86">
        <v>75</v>
      </c>
      <c r="E180" s="30">
        <v>71.3</v>
      </c>
      <c r="F180" s="30">
        <v>1.1</v>
      </c>
      <c r="G180" s="30">
        <v>0.2</v>
      </c>
      <c r="H180" s="30">
        <v>16.4</v>
      </c>
      <c r="I180" s="86">
        <v>75</v>
      </c>
      <c r="J180" s="30">
        <v>71.3</v>
      </c>
      <c r="K180" s="30">
        <v>1.1</v>
      </c>
      <c r="L180" s="30">
        <v>0.2</v>
      </c>
      <c r="M180" s="30">
        <v>16.4</v>
      </c>
      <c r="N180" s="86">
        <v>75</v>
      </c>
      <c r="O180" s="30">
        <v>71.3</v>
      </c>
      <c r="P180" s="30">
        <v>1.1</v>
      </c>
      <c r="Q180" s="30">
        <v>0.2</v>
      </c>
      <c r="R180" s="30">
        <v>16.4</v>
      </c>
    </row>
    <row r="181" spans="1:18" ht="15">
      <c r="A181" s="138" t="s">
        <v>27</v>
      </c>
      <c r="B181" s="138"/>
      <c r="C181" s="147"/>
      <c r="D181" s="140"/>
      <c r="E181" s="141">
        <f>SUM(E174:E180)</f>
        <v>604.52</v>
      </c>
      <c r="F181" s="141">
        <f>SUM(F174:F180)</f>
        <v>8.4</v>
      </c>
      <c r="G181" s="141">
        <f>SUM(G174:G180)</f>
        <v>9.01</v>
      </c>
      <c r="H181" s="141">
        <f>SUM(H174:H180)</f>
        <v>54.129999999999995</v>
      </c>
      <c r="I181" s="140"/>
      <c r="J181" s="141">
        <f>SUM(J174:J180)</f>
        <v>649.52</v>
      </c>
      <c r="K181" s="142">
        <f>SUM(K174:K180)</f>
        <v>9.4</v>
      </c>
      <c r="L181" s="142">
        <f>SUM(L174:L180)</f>
        <v>9.149999999999999</v>
      </c>
      <c r="M181" s="142">
        <f>SUM(M174:M180)</f>
        <v>64.13</v>
      </c>
      <c r="N181" s="140"/>
      <c r="O181" s="141">
        <f>SUM(O174:O180)</f>
        <v>830.06</v>
      </c>
      <c r="P181" s="141">
        <f>SUM(P174:P180)</f>
        <v>10.63</v>
      </c>
      <c r="Q181" s="141">
        <f>SUM(Q174:Q180)</f>
        <v>12.459999999999999</v>
      </c>
      <c r="R181" s="141">
        <f>SUM(R174:R180)</f>
        <v>74.34</v>
      </c>
    </row>
    <row r="182" spans="1:18" ht="15">
      <c r="A182" s="245" t="s">
        <v>60</v>
      </c>
      <c r="B182" s="246"/>
      <c r="C182" s="247"/>
      <c r="D182" s="163"/>
      <c r="E182" s="164"/>
      <c r="F182" s="156"/>
      <c r="G182" s="156"/>
      <c r="H182" s="156"/>
      <c r="I182" s="158"/>
      <c r="J182" s="164"/>
      <c r="K182" s="164"/>
      <c r="L182" s="164"/>
      <c r="M182" s="164"/>
      <c r="N182" s="158"/>
      <c r="O182" s="156"/>
      <c r="P182" s="156"/>
      <c r="Q182" s="156"/>
      <c r="R182" s="156"/>
    </row>
    <row r="183" spans="1:18" ht="27.75" customHeight="1">
      <c r="A183" s="27" t="s">
        <v>283</v>
      </c>
      <c r="B183" s="55" t="s">
        <v>306</v>
      </c>
      <c r="C183" s="49" t="s">
        <v>261</v>
      </c>
      <c r="D183" s="203">
        <v>200</v>
      </c>
      <c r="E183" s="204">
        <v>97</v>
      </c>
      <c r="F183" s="50">
        <v>2.03</v>
      </c>
      <c r="G183" s="204">
        <v>2</v>
      </c>
      <c r="H183" s="204">
        <v>17.3</v>
      </c>
      <c r="I183" s="203">
        <v>250</v>
      </c>
      <c r="J183" s="204">
        <v>121</v>
      </c>
      <c r="K183" s="50">
        <v>2.9</v>
      </c>
      <c r="L183" s="204">
        <v>2.5</v>
      </c>
      <c r="M183" s="204">
        <v>21.6</v>
      </c>
      <c r="N183" s="203">
        <v>250</v>
      </c>
      <c r="O183" s="204">
        <v>121</v>
      </c>
      <c r="P183" s="50">
        <v>2.9</v>
      </c>
      <c r="Q183" s="204">
        <v>2.5</v>
      </c>
      <c r="R183" s="204">
        <v>21.6</v>
      </c>
    </row>
    <row r="184" spans="1:18" ht="27.75" customHeight="1">
      <c r="A184" s="27" t="s">
        <v>284</v>
      </c>
      <c r="B184" s="55" t="s">
        <v>156</v>
      </c>
      <c r="C184" s="66" t="s">
        <v>181</v>
      </c>
      <c r="D184" s="88">
        <v>100</v>
      </c>
      <c r="E184" s="77">
        <v>119.4</v>
      </c>
      <c r="F184" s="77">
        <v>4.02</v>
      </c>
      <c r="G184" s="77">
        <v>1.98</v>
      </c>
      <c r="H184" s="77">
        <v>21.02</v>
      </c>
      <c r="I184" s="88">
        <v>150</v>
      </c>
      <c r="J184" s="77">
        <v>179.1</v>
      </c>
      <c r="K184" s="77">
        <v>6</v>
      </c>
      <c r="L184" s="78">
        <v>3</v>
      </c>
      <c r="M184" s="78">
        <v>31.5</v>
      </c>
      <c r="N184" s="88">
        <v>150</v>
      </c>
      <c r="O184" s="77">
        <v>179.1</v>
      </c>
      <c r="P184" s="77">
        <v>6</v>
      </c>
      <c r="Q184" s="78">
        <v>3</v>
      </c>
      <c r="R184" s="78">
        <v>31.5</v>
      </c>
    </row>
    <row r="185" spans="1:18" ht="15">
      <c r="A185" s="27" t="s">
        <v>286</v>
      </c>
      <c r="B185" s="48"/>
      <c r="C185" s="49" t="s">
        <v>264</v>
      </c>
      <c r="D185" s="96">
        <v>60</v>
      </c>
      <c r="E185" s="50">
        <v>131.5</v>
      </c>
      <c r="F185" s="50">
        <v>10.6</v>
      </c>
      <c r="G185" s="50">
        <v>5.4</v>
      </c>
      <c r="H185" s="50">
        <v>12.5</v>
      </c>
      <c r="I185" s="96">
        <v>80</v>
      </c>
      <c r="J185" s="50">
        <v>175.5</v>
      </c>
      <c r="K185" s="50">
        <v>14.2</v>
      </c>
      <c r="L185" s="50">
        <v>7.2</v>
      </c>
      <c r="M185" s="50">
        <v>16.6</v>
      </c>
      <c r="N185" s="96">
        <v>80</v>
      </c>
      <c r="O185" s="50">
        <v>175.5</v>
      </c>
      <c r="P185" s="50">
        <v>14.2</v>
      </c>
      <c r="Q185" s="50">
        <v>7.2</v>
      </c>
      <c r="R185" s="50">
        <v>16.6</v>
      </c>
    </row>
    <row r="186" spans="1:18" s="11" customFormat="1" ht="15">
      <c r="A186" s="27" t="s">
        <v>202</v>
      </c>
      <c r="B186" s="48" t="s">
        <v>48</v>
      </c>
      <c r="C186" s="49" t="s">
        <v>251</v>
      </c>
      <c r="D186" s="96">
        <v>100</v>
      </c>
      <c r="E186" s="50">
        <v>82.83</v>
      </c>
      <c r="F186" s="50">
        <v>1.77</v>
      </c>
      <c r="G186" s="50">
        <v>2.21</v>
      </c>
      <c r="H186" s="50">
        <v>14.15</v>
      </c>
      <c r="I186" s="96">
        <v>100</v>
      </c>
      <c r="J186" s="50">
        <v>82.83</v>
      </c>
      <c r="K186" s="50">
        <v>1.77</v>
      </c>
      <c r="L186" s="50">
        <v>2.21</v>
      </c>
      <c r="M186" s="50">
        <v>14.15</v>
      </c>
      <c r="N186" s="96">
        <v>100</v>
      </c>
      <c r="O186" s="50">
        <v>82.83</v>
      </c>
      <c r="P186" s="50">
        <v>1.77</v>
      </c>
      <c r="Q186" s="50">
        <v>2.21</v>
      </c>
      <c r="R186" s="50">
        <v>14.15</v>
      </c>
    </row>
    <row r="187" spans="1:18" ht="34.5" customHeight="1">
      <c r="A187" s="27" t="s">
        <v>296</v>
      </c>
      <c r="B187" s="27"/>
      <c r="C187" s="31" t="s">
        <v>295</v>
      </c>
      <c r="D187" s="91">
        <v>180</v>
      </c>
      <c r="E187" s="29">
        <v>38</v>
      </c>
      <c r="F187" s="29">
        <v>0.1</v>
      </c>
      <c r="G187" s="29">
        <v>0</v>
      </c>
      <c r="H187" s="29">
        <v>0.5</v>
      </c>
      <c r="I187" s="91">
        <v>180</v>
      </c>
      <c r="J187" s="29">
        <v>38</v>
      </c>
      <c r="K187" s="29">
        <v>0.1</v>
      </c>
      <c r="L187" s="29">
        <v>0</v>
      </c>
      <c r="M187" s="29">
        <v>0.5</v>
      </c>
      <c r="N187" s="91">
        <v>180</v>
      </c>
      <c r="O187" s="29">
        <v>38</v>
      </c>
      <c r="P187" s="29">
        <v>0.1</v>
      </c>
      <c r="Q187" s="29">
        <v>0</v>
      </c>
      <c r="R187" s="29">
        <v>0.5</v>
      </c>
    </row>
    <row r="188" spans="1:18" ht="19.5" customHeight="1">
      <c r="A188" s="27" t="s">
        <v>205</v>
      </c>
      <c r="B188" s="33"/>
      <c r="C188" s="28" t="s">
        <v>273</v>
      </c>
      <c r="D188" s="86">
        <v>75</v>
      </c>
      <c r="E188" s="30">
        <v>71.3</v>
      </c>
      <c r="F188" s="30">
        <v>1.1</v>
      </c>
      <c r="G188" s="30">
        <v>0.2</v>
      </c>
      <c r="H188" s="30">
        <v>16.4</v>
      </c>
      <c r="I188" s="86">
        <v>75</v>
      </c>
      <c r="J188" s="30">
        <v>71.3</v>
      </c>
      <c r="K188" s="30">
        <v>1.1</v>
      </c>
      <c r="L188" s="30">
        <v>0.2</v>
      </c>
      <c r="M188" s="30">
        <v>16.4</v>
      </c>
      <c r="N188" s="86">
        <v>75</v>
      </c>
      <c r="O188" s="30">
        <v>71.3</v>
      </c>
      <c r="P188" s="30">
        <v>1.1</v>
      </c>
      <c r="Q188" s="30">
        <v>0.2</v>
      </c>
      <c r="R188" s="30">
        <v>16.4</v>
      </c>
    </row>
    <row r="189" spans="1:18" ht="15">
      <c r="A189" s="251" t="s">
        <v>27</v>
      </c>
      <c r="B189" s="251"/>
      <c r="C189" s="251"/>
      <c r="D189" s="140"/>
      <c r="E189" s="141">
        <f>SUM(E183:E188)</f>
        <v>540.03</v>
      </c>
      <c r="F189" s="141">
        <f>SUM(F183:F188)</f>
        <v>19.62</v>
      </c>
      <c r="G189" s="141">
        <f>SUM(G183:G188)</f>
        <v>11.79</v>
      </c>
      <c r="H189" s="141">
        <f>SUM(H183:H188)</f>
        <v>81.87</v>
      </c>
      <c r="I189" s="140"/>
      <c r="J189" s="141">
        <f>SUM(J183:J188)</f>
        <v>667.73</v>
      </c>
      <c r="K189" s="142">
        <f>SUM(K183:K188)</f>
        <v>26.070000000000004</v>
      </c>
      <c r="L189" s="142">
        <f>SUM(L183:L188)</f>
        <v>15.11</v>
      </c>
      <c r="M189" s="142">
        <f>SUM(M183:M188)</f>
        <v>100.75</v>
      </c>
      <c r="N189" s="140"/>
      <c r="O189" s="141">
        <f>SUM(O183:O188)</f>
        <v>667.73</v>
      </c>
      <c r="P189" s="141">
        <f>SUM(P183:P188)</f>
        <v>26.070000000000004</v>
      </c>
      <c r="Q189" s="141">
        <f>SUM(Q183:Q188)</f>
        <v>15.11</v>
      </c>
      <c r="R189" s="141">
        <f>SUM(R183:R188)</f>
        <v>100.75</v>
      </c>
    </row>
    <row r="190" spans="1:18" ht="15">
      <c r="A190" s="245" t="s">
        <v>61</v>
      </c>
      <c r="B190" s="246"/>
      <c r="C190" s="247"/>
      <c r="D190" s="163"/>
      <c r="E190" s="164"/>
      <c r="F190" s="156"/>
      <c r="G190" s="156"/>
      <c r="H190" s="156"/>
      <c r="I190" s="158"/>
      <c r="J190" s="164"/>
      <c r="K190" s="164"/>
      <c r="L190" s="164"/>
      <c r="M190" s="164"/>
      <c r="N190" s="158"/>
      <c r="O190" s="156"/>
      <c r="P190" s="156"/>
      <c r="Q190" s="156"/>
      <c r="R190" s="156"/>
    </row>
    <row r="191" spans="1:18" ht="15">
      <c r="A191" s="27" t="s">
        <v>311</v>
      </c>
      <c r="B191" s="67" t="s">
        <v>157</v>
      </c>
      <c r="C191" s="33" t="s">
        <v>305</v>
      </c>
      <c r="D191" s="90">
        <v>200</v>
      </c>
      <c r="E191" s="46">
        <v>129</v>
      </c>
      <c r="F191" s="36">
        <v>2.3</v>
      </c>
      <c r="G191" s="36">
        <v>4.4</v>
      </c>
      <c r="H191" s="36">
        <v>20.6</v>
      </c>
      <c r="I191" s="90">
        <v>200</v>
      </c>
      <c r="J191" s="46">
        <v>129</v>
      </c>
      <c r="K191" s="36">
        <v>2.3</v>
      </c>
      <c r="L191" s="36">
        <v>4.4</v>
      </c>
      <c r="M191" s="36">
        <v>20.6</v>
      </c>
      <c r="N191" s="90">
        <v>200</v>
      </c>
      <c r="O191" s="46">
        <v>129</v>
      </c>
      <c r="P191" s="36">
        <v>2.3</v>
      </c>
      <c r="Q191" s="36">
        <v>4.4</v>
      </c>
      <c r="R191" s="36">
        <v>20.6</v>
      </c>
    </row>
    <row r="192" spans="1:18" s="11" customFormat="1" ht="23.25">
      <c r="A192" s="27" t="s">
        <v>235</v>
      </c>
      <c r="B192" s="27" t="s">
        <v>52</v>
      </c>
      <c r="C192" s="218" t="s">
        <v>274</v>
      </c>
      <c r="D192" s="86">
        <v>30</v>
      </c>
      <c r="E192" s="30">
        <v>68</v>
      </c>
      <c r="F192" s="30">
        <v>1</v>
      </c>
      <c r="G192" s="30">
        <v>0.21</v>
      </c>
      <c r="H192" s="30">
        <v>15</v>
      </c>
      <c r="I192" s="86">
        <v>50</v>
      </c>
      <c r="J192" s="30">
        <v>113</v>
      </c>
      <c r="K192" s="30">
        <v>2</v>
      </c>
      <c r="L192" s="30">
        <v>0.35</v>
      </c>
      <c r="M192" s="30">
        <v>25</v>
      </c>
      <c r="N192" s="86">
        <v>50</v>
      </c>
      <c r="O192" s="30">
        <v>113</v>
      </c>
      <c r="P192" s="30">
        <v>2</v>
      </c>
      <c r="Q192" s="30">
        <v>0.35</v>
      </c>
      <c r="R192" s="30">
        <v>25</v>
      </c>
    </row>
    <row r="193" spans="1:18" ht="18" customHeight="1">
      <c r="A193" s="27" t="s">
        <v>276</v>
      </c>
      <c r="B193" s="27"/>
      <c r="C193" s="31" t="s">
        <v>265</v>
      </c>
      <c r="D193" s="91" t="s">
        <v>253</v>
      </c>
      <c r="E193" s="30">
        <v>236.8</v>
      </c>
      <c r="F193" s="30">
        <v>6.97</v>
      </c>
      <c r="G193" s="30">
        <v>7.29</v>
      </c>
      <c r="H193" s="30">
        <v>35.3</v>
      </c>
      <c r="I193" s="91" t="s">
        <v>266</v>
      </c>
      <c r="J193" s="30">
        <v>277.43</v>
      </c>
      <c r="K193" s="30">
        <v>8.31</v>
      </c>
      <c r="L193" s="30">
        <v>8.72</v>
      </c>
      <c r="M193" s="30">
        <v>40.8</v>
      </c>
      <c r="N193" s="91" t="s">
        <v>266</v>
      </c>
      <c r="O193" s="30">
        <v>277.43</v>
      </c>
      <c r="P193" s="30">
        <v>8.31</v>
      </c>
      <c r="Q193" s="30">
        <v>8.72</v>
      </c>
      <c r="R193" s="30">
        <v>40.8</v>
      </c>
    </row>
    <row r="194" spans="1:18" ht="18" customHeight="1">
      <c r="A194" s="27" t="s">
        <v>214</v>
      </c>
      <c r="B194" s="64" t="s">
        <v>33</v>
      </c>
      <c r="C194" s="64" t="s">
        <v>160</v>
      </c>
      <c r="D194" s="95">
        <v>200</v>
      </c>
      <c r="E194" s="75">
        <v>112.48</v>
      </c>
      <c r="F194" s="76">
        <v>6.11</v>
      </c>
      <c r="G194" s="76">
        <v>5.5</v>
      </c>
      <c r="H194" s="76">
        <v>9.85</v>
      </c>
      <c r="I194" s="95">
        <v>200</v>
      </c>
      <c r="J194" s="75">
        <v>112.48</v>
      </c>
      <c r="K194" s="76">
        <v>6.11</v>
      </c>
      <c r="L194" s="76">
        <v>5.5</v>
      </c>
      <c r="M194" s="76">
        <v>9.85</v>
      </c>
      <c r="N194" s="95">
        <v>200</v>
      </c>
      <c r="O194" s="75">
        <v>112.48</v>
      </c>
      <c r="P194" s="76">
        <v>6.11</v>
      </c>
      <c r="Q194" s="76">
        <v>5.5</v>
      </c>
      <c r="R194" s="76">
        <v>9.85</v>
      </c>
    </row>
    <row r="195" spans="1:18" ht="24.75" customHeight="1">
      <c r="A195" s="27" t="s">
        <v>205</v>
      </c>
      <c r="B195" s="33"/>
      <c r="C195" s="28" t="s">
        <v>273</v>
      </c>
      <c r="D195" s="86">
        <v>75</v>
      </c>
      <c r="E195" s="30">
        <v>71.3</v>
      </c>
      <c r="F195" s="30">
        <v>1.1</v>
      </c>
      <c r="G195" s="30">
        <v>0.2</v>
      </c>
      <c r="H195" s="30">
        <v>16.4</v>
      </c>
      <c r="I195" s="86">
        <v>75</v>
      </c>
      <c r="J195" s="30">
        <v>71.3</v>
      </c>
      <c r="K195" s="30">
        <v>1.1</v>
      </c>
      <c r="L195" s="30">
        <v>0.2</v>
      </c>
      <c r="M195" s="30">
        <v>16.4</v>
      </c>
      <c r="N195" s="86">
        <v>75</v>
      </c>
      <c r="O195" s="30">
        <v>71.3</v>
      </c>
      <c r="P195" s="30">
        <v>1.1</v>
      </c>
      <c r="Q195" s="30">
        <v>0.2</v>
      </c>
      <c r="R195" s="30">
        <v>16.4</v>
      </c>
    </row>
    <row r="196" spans="1:18" ht="33" customHeight="1">
      <c r="A196" s="138" t="s">
        <v>27</v>
      </c>
      <c r="B196" s="143"/>
      <c r="C196" s="143"/>
      <c r="D196" s="144"/>
      <c r="E196" s="146">
        <f>SUM(E191:E195)</f>
        <v>617.5799999999999</v>
      </c>
      <c r="F196" s="146">
        <f>SUM(F191:F195)</f>
        <v>17.48</v>
      </c>
      <c r="G196" s="146">
        <f>SUM(G191:G195)</f>
        <v>17.599999999999998</v>
      </c>
      <c r="H196" s="146">
        <f>SUM(H191:H195)</f>
        <v>97.15</v>
      </c>
      <c r="I196" s="144"/>
      <c r="J196" s="146">
        <f>SUM(J191:J195)</f>
        <v>703.21</v>
      </c>
      <c r="K196" s="145">
        <f>SUM(K191:K195)</f>
        <v>19.82</v>
      </c>
      <c r="L196" s="145">
        <f>SUM(L191:L195)</f>
        <v>19.169999999999998</v>
      </c>
      <c r="M196" s="145">
        <f>SUM(M191:M195)</f>
        <v>112.65</v>
      </c>
      <c r="N196" s="144"/>
      <c r="O196" s="146">
        <f>SUM(O191:O195)</f>
        <v>703.21</v>
      </c>
      <c r="P196" s="146">
        <f>SUM(P191:P195)</f>
        <v>19.82</v>
      </c>
      <c r="Q196" s="146">
        <f>SUM(Q191:Q195)</f>
        <v>19.169999999999998</v>
      </c>
      <c r="R196" s="146">
        <f>SUM(R191:R195)</f>
        <v>112.65</v>
      </c>
    </row>
    <row r="197" spans="1:18" ht="15">
      <c r="A197" s="254" t="s">
        <v>62</v>
      </c>
      <c r="B197" s="254"/>
      <c r="C197" s="254"/>
      <c r="D197" s="160"/>
      <c r="E197" s="165"/>
      <c r="F197" s="159"/>
      <c r="G197" s="159"/>
      <c r="H197" s="159"/>
      <c r="I197" s="160"/>
      <c r="J197" s="165"/>
      <c r="K197" s="165"/>
      <c r="L197" s="165"/>
      <c r="M197" s="165"/>
      <c r="N197" s="160"/>
      <c r="O197" s="159"/>
      <c r="P197" s="159"/>
      <c r="Q197" s="159"/>
      <c r="R197" s="159"/>
    </row>
    <row r="198" spans="1:18" ht="19.5" customHeight="1">
      <c r="A198" s="27" t="s">
        <v>192</v>
      </c>
      <c r="B198" s="33"/>
      <c r="C198" s="66" t="s">
        <v>158</v>
      </c>
      <c r="D198" s="88">
        <v>200</v>
      </c>
      <c r="E198" s="65">
        <v>136.8</v>
      </c>
      <c r="F198" s="65">
        <v>3.8</v>
      </c>
      <c r="G198" s="65">
        <v>6.7</v>
      </c>
      <c r="H198" s="65">
        <v>15.5</v>
      </c>
      <c r="I198" s="88">
        <v>250</v>
      </c>
      <c r="J198" s="65">
        <v>144</v>
      </c>
      <c r="K198" s="65">
        <v>4.7</v>
      </c>
      <c r="L198" s="65">
        <v>5.4</v>
      </c>
      <c r="M198" s="65">
        <v>19.5</v>
      </c>
      <c r="N198" s="88">
        <v>250</v>
      </c>
      <c r="O198" s="65">
        <v>144</v>
      </c>
      <c r="P198" s="65">
        <v>4.7</v>
      </c>
      <c r="Q198" s="65">
        <v>5.4</v>
      </c>
      <c r="R198" s="65">
        <v>19.5</v>
      </c>
    </row>
    <row r="199" spans="1:18" ht="15">
      <c r="A199" s="27" t="s">
        <v>199</v>
      </c>
      <c r="B199" s="57" t="s">
        <v>232</v>
      </c>
      <c r="C199" s="66" t="s">
        <v>180</v>
      </c>
      <c r="D199" s="88">
        <v>120</v>
      </c>
      <c r="E199" s="65">
        <v>132</v>
      </c>
      <c r="F199" s="65">
        <v>3.7</v>
      </c>
      <c r="G199" s="65">
        <v>3.8</v>
      </c>
      <c r="H199" s="65">
        <v>22.3</v>
      </c>
      <c r="I199" s="88">
        <v>150</v>
      </c>
      <c r="J199" s="65">
        <v>165</v>
      </c>
      <c r="K199" s="65">
        <v>4.7</v>
      </c>
      <c r="L199" s="65">
        <v>4.8</v>
      </c>
      <c r="M199" s="65">
        <v>27.9</v>
      </c>
      <c r="N199" s="88">
        <v>150</v>
      </c>
      <c r="O199" s="65">
        <v>165</v>
      </c>
      <c r="P199" s="65">
        <v>4.7</v>
      </c>
      <c r="Q199" s="65">
        <v>4.8</v>
      </c>
      <c r="R199" s="65">
        <v>27.9</v>
      </c>
    </row>
    <row r="200" spans="1:18" ht="15">
      <c r="A200" s="27" t="s">
        <v>211</v>
      </c>
      <c r="B200" s="28" t="s">
        <v>308</v>
      </c>
      <c r="C200" s="66" t="s">
        <v>309</v>
      </c>
      <c r="D200" s="88">
        <v>60</v>
      </c>
      <c r="E200" s="65">
        <v>53.21</v>
      </c>
      <c r="F200" s="65">
        <v>9.06</v>
      </c>
      <c r="G200" s="65">
        <v>1.48</v>
      </c>
      <c r="H200" s="65">
        <v>2.1</v>
      </c>
      <c r="I200" s="88">
        <v>60</v>
      </c>
      <c r="J200" s="65">
        <v>53.21</v>
      </c>
      <c r="K200" s="65">
        <v>9.06</v>
      </c>
      <c r="L200" s="65">
        <v>1.48</v>
      </c>
      <c r="M200" s="65">
        <v>2.1</v>
      </c>
      <c r="N200" s="88">
        <v>90</v>
      </c>
      <c r="O200" s="65">
        <v>79.82</v>
      </c>
      <c r="P200" s="65">
        <v>13.58</v>
      </c>
      <c r="Q200" s="65">
        <v>2.22</v>
      </c>
      <c r="R200" s="65">
        <v>3.15</v>
      </c>
    </row>
    <row r="201" spans="1:18" s="11" customFormat="1" ht="34.5">
      <c r="A201" s="27" t="s">
        <v>279</v>
      </c>
      <c r="B201" s="27"/>
      <c r="C201" s="66" t="s">
        <v>310</v>
      </c>
      <c r="D201" s="88">
        <v>50</v>
      </c>
      <c r="E201" s="65">
        <v>32</v>
      </c>
      <c r="F201" s="65">
        <v>0.8</v>
      </c>
      <c r="G201" s="65">
        <v>1.7</v>
      </c>
      <c r="H201" s="65">
        <v>2.9</v>
      </c>
      <c r="I201" s="88">
        <v>50</v>
      </c>
      <c r="J201" s="65">
        <v>32</v>
      </c>
      <c r="K201" s="65">
        <v>0.8</v>
      </c>
      <c r="L201" s="65">
        <v>1.7</v>
      </c>
      <c r="M201" s="65">
        <v>2.9</v>
      </c>
      <c r="N201" s="88">
        <v>75</v>
      </c>
      <c r="O201" s="65">
        <v>48</v>
      </c>
      <c r="P201" s="65">
        <v>1.1</v>
      </c>
      <c r="Q201" s="65">
        <v>2.6</v>
      </c>
      <c r="R201" s="65">
        <v>4.4</v>
      </c>
    </row>
    <row r="202" spans="1:18" s="10" customFormat="1" ht="17.25" customHeight="1">
      <c r="A202" s="27" t="s">
        <v>205</v>
      </c>
      <c r="B202" s="33"/>
      <c r="C202" s="28" t="s">
        <v>273</v>
      </c>
      <c r="D202" s="86">
        <v>75</v>
      </c>
      <c r="E202" s="30">
        <v>71.3</v>
      </c>
      <c r="F202" s="30">
        <v>1.1</v>
      </c>
      <c r="G202" s="30">
        <v>0.2</v>
      </c>
      <c r="H202" s="30">
        <v>16.4</v>
      </c>
      <c r="I202" s="86">
        <v>75</v>
      </c>
      <c r="J202" s="30">
        <v>71.3</v>
      </c>
      <c r="K202" s="30">
        <v>1.1</v>
      </c>
      <c r="L202" s="30">
        <v>0.2</v>
      </c>
      <c r="M202" s="30">
        <v>16.4</v>
      </c>
      <c r="N202" s="86">
        <v>75</v>
      </c>
      <c r="O202" s="30">
        <v>71.3</v>
      </c>
      <c r="P202" s="30">
        <v>1.1</v>
      </c>
      <c r="Q202" s="30">
        <v>0.2</v>
      </c>
      <c r="R202" s="30">
        <v>16.4</v>
      </c>
    </row>
    <row r="203" spans="1:18" s="10" customFormat="1" ht="17.25" customHeight="1">
      <c r="A203" s="27" t="s">
        <v>216</v>
      </c>
      <c r="B203" s="40"/>
      <c r="C203" s="32" t="s">
        <v>147</v>
      </c>
      <c r="D203" s="102">
        <v>150</v>
      </c>
      <c r="E203" s="84">
        <v>80.8</v>
      </c>
      <c r="F203" s="85">
        <v>0.2</v>
      </c>
      <c r="G203" s="85">
        <v>0.7</v>
      </c>
      <c r="H203" s="85">
        <v>18.7</v>
      </c>
      <c r="I203" s="90">
        <v>200</v>
      </c>
      <c r="J203" s="216">
        <v>107.7</v>
      </c>
      <c r="K203" s="35">
        <v>0.3</v>
      </c>
      <c r="L203" s="35">
        <v>0.9</v>
      </c>
      <c r="M203" s="35">
        <v>24.9</v>
      </c>
      <c r="N203" s="90">
        <v>200</v>
      </c>
      <c r="O203" s="216">
        <v>107.7</v>
      </c>
      <c r="P203" s="35">
        <v>0.3</v>
      </c>
      <c r="Q203" s="35">
        <v>0.9</v>
      </c>
      <c r="R203" s="35">
        <v>24.9</v>
      </c>
    </row>
    <row r="204" spans="1:18" ht="15">
      <c r="A204" s="138" t="s">
        <v>27</v>
      </c>
      <c r="B204" s="139"/>
      <c r="C204" s="138"/>
      <c r="D204" s="140"/>
      <c r="E204" s="141">
        <f>SUM(E198:E203)</f>
        <v>506.11</v>
      </c>
      <c r="F204" s="141">
        <f>SUM(F198:F203)</f>
        <v>18.660000000000004</v>
      </c>
      <c r="G204" s="141">
        <f>SUM(G198:G203)</f>
        <v>14.579999999999998</v>
      </c>
      <c r="H204" s="141">
        <f>SUM(H198:H203)</f>
        <v>77.89999999999999</v>
      </c>
      <c r="I204" s="140"/>
      <c r="J204" s="141">
        <f>SUM(J198:J203)</f>
        <v>573.21</v>
      </c>
      <c r="K204" s="142">
        <f>SUM(K198:K203)</f>
        <v>20.660000000000004</v>
      </c>
      <c r="L204" s="142">
        <f>SUM(L198:L203)</f>
        <v>14.479999999999999</v>
      </c>
      <c r="M204" s="142">
        <f>SUM(M198:M203)</f>
        <v>93.69999999999999</v>
      </c>
      <c r="N204" s="140"/>
      <c r="O204" s="141">
        <f>SUM(O198:O203)</f>
        <v>615.82</v>
      </c>
      <c r="P204" s="141">
        <f>SUM(P198:P203)</f>
        <v>25.480000000000004</v>
      </c>
      <c r="Q204" s="141">
        <f>SUM(Q198:Q203)</f>
        <v>16.119999999999997</v>
      </c>
      <c r="R204" s="141">
        <f>SUM(R198:R203)</f>
        <v>96.25</v>
      </c>
    </row>
    <row r="205" spans="1:18" ht="15">
      <c r="A205" s="245" t="s">
        <v>64</v>
      </c>
      <c r="B205" s="246"/>
      <c r="C205" s="247"/>
      <c r="D205" s="163"/>
      <c r="E205" s="164"/>
      <c r="F205" s="156"/>
      <c r="G205" s="156"/>
      <c r="H205" s="156"/>
      <c r="I205" s="158"/>
      <c r="J205" s="164"/>
      <c r="K205" s="164"/>
      <c r="L205" s="164"/>
      <c r="M205" s="164"/>
      <c r="N205" s="158"/>
      <c r="O205" s="156"/>
      <c r="P205" s="156"/>
      <c r="Q205" s="156"/>
      <c r="R205" s="156"/>
    </row>
    <row r="206" spans="1:18" ht="23.25">
      <c r="A206" s="27" t="s">
        <v>243</v>
      </c>
      <c r="B206" s="32" t="s">
        <v>230</v>
      </c>
      <c r="C206" s="51" t="s">
        <v>146</v>
      </c>
      <c r="D206" s="98">
        <v>200</v>
      </c>
      <c r="E206" s="54">
        <v>146</v>
      </c>
      <c r="F206" s="52">
        <v>3.8</v>
      </c>
      <c r="G206" s="53">
        <v>4.6</v>
      </c>
      <c r="H206" s="53">
        <v>23.1</v>
      </c>
      <c r="I206" s="98">
        <v>250</v>
      </c>
      <c r="J206" s="54">
        <v>157.9</v>
      </c>
      <c r="K206" s="52">
        <v>4.3</v>
      </c>
      <c r="L206" s="53">
        <v>3.3</v>
      </c>
      <c r="M206" s="53">
        <v>28.9</v>
      </c>
      <c r="N206" s="98">
        <v>250</v>
      </c>
      <c r="O206" s="54">
        <v>157.9</v>
      </c>
      <c r="P206" s="52">
        <v>4.3</v>
      </c>
      <c r="Q206" s="53">
        <v>3.3</v>
      </c>
      <c r="R206" s="53">
        <v>28.9</v>
      </c>
    </row>
    <row r="207" spans="1:18" ht="15">
      <c r="A207" s="196" t="s">
        <v>256</v>
      </c>
      <c r="B207" s="197" t="s">
        <v>33</v>
      </c>
      <c r="C207" s="197" t="s">
        <v>255</v>
      </c>
      <c r="D207" s="198">
        <v>120</v>
      </c>
      <c r="E207" s="199">
        <v>137.2</v>
      </c>
      <c r="F207" s="200">
        <v>4.6</v>
      </c>
      <c r="G207" s="200">
        <v>2.6</v>
      </c>
      <c r="H207" s="200">
        <v>5.82</v>
      </c>
      <c r="I207" s="198">
        <v>150</v>
      </c>
      <c r="J207" s="199">
        <v>171.5</v>
      </c>
      <c r="K207" s="200">
        <v>5.7</v>
      </c>
      <c r="L207" s="200">
        <v>3.3</v>
      </c>
      <c r="M207" s="200">
        <v>32.3</v>
      </c>
      <c r="N207" s="198">
        <v>150</v>
      </c>
      <c r="O207" s="199">
        <v>171.5</v>
      </c>
      <c r="P207" s="200">
        <v>5.7</v>
      </c>
      <c r="Q207" s="200">
        <v>3.3</v>
      </c>
      <c r="R207" s="200">
        <v>32.3</v>
      </c>
    </row>
    <row r="208" spans="1:18" ht="15">
      <c r="A208" s="27" t="s">
        <v>213</v>
      </c>
      <c r="B208" s="28" t="s">
        <v>24</v>
      </c>
      <c r="C208" s="31" t="s">
        <v>172</v>
      </c>
      <c r="D208" s="86">
        <v>40</v>
      </c>
      <c r="E208" s="30">
        <v>63</v>
      </c>
      <c r="F208" s="30">
        <v>5.1</v>
      </c>
      <c r="G208" s="30">
        <v>4.6</v>
      </c>
      <c r="H208" s="30">
        <v>0.3</v>
      </c>
      <c r="I208" s="86">
        <v>40</v>
      </c>
      <c r="J208" s="30">
        <v>63</v>
      </c>
      <c r="K208" s="30">
        <v>5.1</v>
      </c>
      <c r="L208" s="30">
        <v>4.6</v>
      </c>
      <c r="M208" s="30">
        <v>0.3</v>
      </c>
      <c r="N208" s="86">
        <v>40</v>
      </c>
      <c r="O208" s="30">
        <v>63</v>
      </c>
      <c r="P208" s="30">
        <v>5.1</v>
      </c>
      <c r="Q208" s="30">
        <v>4.6</v>
      </c>
      <c r="R208" s="30">
        <v>0.3</v>
      </c>
    </row>
    <row r="209" spans="1:18" ht="15">
      <c r="A209" s="27" t="s">
        <v>288</v>
      </c>
      <c r="B209" s="28"/>
      <c r="C209" s="49" t="s">
        <v>267</v>
      </c>
      <c r="D209" s="96">
        <v>85</v>
      </c>
      <c r="E209" s="50">
        <v>124.5</v>
      </c>
      <c r="F209" s="50">
        <v>1.11</v>
      </c>
      <c r="G209" s="50">
        <v>10.25</v>
      </c>
      <c r="H209" s="50">
        <v>7.67</v>
      </c>
      <c r="I209" s="96">
        <v>85</v>
      </c>
      <c r="J209" s="50">
        <v>124.5</v>
      </c>
      <c r="K209" s="50">
        <v>1.11</v>
      </c>
      <c r="L209" s="50">
        <v>10.25</v>
      </c>
      <c r="M209" s="50">
        <v>7.67</v>
      </c>
      <c r="N209" s="96">
        <v>85</v>
      </c>
      <c r="O209" s="50">
        <v>124.5</v>
      </c>
      <c r="P209" s="50">
        <v>1.11</v>
      </c>
      <c r="Q209" s="50">
        <v>10.25</v>
      </c>
      <c r="R209" s="50">
        <v>7.67</v>
      </c>
    </row>
    <row r="210" spans="1:18" ht="23.25">
      <c r="A210" s="27" t="s">
        <v>235</v>
      </c>
      <c r="B210" s="32" t="s">
        <v>161</v>
      </c>
      <c r="C210" s="218" t="s">
        <v>274</v>
      </c>
      <c r="D210" s="90">
        <v>30</v>
      </c>
      <c r="E210" s="216">
        <v>68</v>
      </c>
      <c r="F210" s="35" t="s">
        <v>162</v>
      </c>
      <c r="G210" s="35">
        <v>0.2</v>
      </c>
      <c r="H210" s="35" t="s">
        <v>163</v>
      </c>
      <c r="I210" s="90">
        <v>50</v>
      </c>
      <c r="J210" s="216">
        <v>113</v>
      </c>
      <c r="K210" s="35" t="s">
        <v>164</v>
      </c>
      <c r="L210" s="35" t="s">
        <v>165</v>
      </c>
      <c r="M210" s="35" t="s">
        <v>166</v>
      </c>
      <c r="N210" s="90">
        <v>50</v>
      </c>
      <c r="O210" s="216">
        <v>113</v>
      </c>
      <c r="P210" s="35" t="s">
        <v>164</v>
      </c>
      <c r="Q210" s="35" t="s">
        <v>165</v>
      </c>
      <c r="R210" s="35" t="s">
        <v>166</v>
      </c>
    </row>
    <row r="211" spans="1:18" ht="23.25">
      <c r="A211" s="80" t="s">
        <v>235</v>
      </c>
      <c r="B211" s="71"/>
      <c r="C211" s="220" t="s">
        <v>194</v>
      </c>
      <c r="D211" s="97">
        <v>200</v>
      </c>
      <c r="E211" s="43">
        <v>132</v>
      </c>
      <c r="F211" s="43">
        <v>0</v>
      </c>
      <c r="G211" s="43">
        <v>0</v>
      </c>
      <c r="H211" s="43">
        <v>32</v>
      </c>
      <c r="I211" s="97">
        <v>200</v>
      </c>
      <c r="J211" s="48">
        <v>132</v>
      </c>
      <c r="K211" s="43">
        <v>0</v>
      </c>
      <c r="L211" s="43">
        <v>0</v>
      </c>
      <c r="M211" s="43">
        <v>32</v>
      </c>
      <c r="N211" s="97">
        <v>200</v>
      </c>
      <c r="O211" s="43">
        <v>132</v>
      </c>
      <c r="P211" s="43">
        <v>0</v>
      </c>
      <c r="Q211" s="43">
        <v>0</v>
      </c>
      <c r="R211" s="43">
        <v>32</v>
      </c>
    </row>
    <row r="212" spans="1:18" ht="21.75" customHeight="1">
      <c r="A212" s="27" t="s">
        <v>205</v>
      </c>
      <c r="B212" s="33"/>
      <c r="C212" s="28" t="s">
        <v>273</v>
      </c>
      <c r="D212" s="86">
        <v>75</v>
      </c>
      <c r="E212" s="30">
        <v>71.3</v>
      </c>
      <c r="F212" s="30">
        <v>1.1</v>
      </c>
      <c r="G212" s="30">
        <v>0.2</v>
      </c>
      <c r="H212" s="30">
        <v>16.4</v>
      </c>
      <c r="I212" s="86">
        <v>75</v>
      </c>
      <c r="J212" s="30">
        <v>71.3</v>
      </c>
      <c r="K212" s="30">
        <v>1.1</v>
      </c>
      <c r="L212" s="30">
        <v>0.2</v>
      </c>
      <c r="M212" s="30">
        <v>16.4</v>
      </c>
      <c r="N212" s="86">
        <v>75</v>
      </c>
      <c r="O212" s="30">
        <v>71.3</v>
      </c>
      <c r="P212" s="30">
        <v>1.1</v>
      </c>
      <c r="Q212" s="30">
        <v>0.2</v>
      </c>
      <c r="R212" s="30">
        <v>16.4</v>
      </c>
    </row>
    <row r="213" spans="1:18" ht="21.75" customHeight="1">
      <c r="A213" s="138" t="s">
        <v>234</v>
      </c>
      <c r="B213" s="139"/>
      <c r="C213" s="138"/>
      <c r="D213" s="140"/>
      <c r="E213" s="141">
        <f>SUM(E206:E212)</f>
        <v>742</v>
      </c>
      <c r="F213" s="141">
        <f>SUM(F206:F212)</f>
        <v>15.709999999999997</v>
      </c>
      <c r="G213" s="141">
        <f>SUM(G206:G212)</f>
        <v>22.449999999999996</v>
      </c>
      <c r="H213" s="141">
        <f>SUM(H206:H212)</f>
        <v>85.28999999999999</v>
      </c>
      <c r="I213" s="140"/>
      <c r="J213" s="141">
        <f>SUM(J206:J212)</f>
        <v>833.1999999999999</v>
      </c>
      <c r="K213" s="142">
        <f>SUM(K206:K212)</f>
        <v>17.310000000000002</v>
      </c>
      <c r="L213" s="142">
        <f>SUM(L206:L212)</f>
        <v>21.65</v>
      </c>
      <c r="M213" s="142">
        <f>SUM(M206:M212)</f>
        <v>117.57</v>
      </c>
      <c r="N213" s="140"/>
      <c r="O213" s="141">
        <f>SUM(O206:O212)</f>
        <v>833.1999999999999</v>
      </c>
      <c r="P213" s="141">
        <f>SUM(P206:P212)</f>
        <v>17.310000000000002</v>
      </c>
      <c r="Q213" s="141">
        <f>SUM(Q206:Q212)</f>
        <v>21.65</v>
      </c>
      <c r="R213" s="141">
        <f>SUM(R206:R212)</f>
        <v>117.57</v>
      </c>
    </row>
    <row r="214" spans="1:18" ht="21.75" customHeight="1">
      <c r="A214" s="127" t="s">
        <v>242</v>
      </c>
      <c r="B214" s="123"/>
      <c r="C214" s="124"/>
      <c r="D214" s="125"/>
      <c r="E214" s="126">
        <f>E181+E189+E196+E204+E213</f>
        <v>3010.24</v>
      </c>
      <c r="F214" s="126">
        <f>F181+F189+F196+F204+F213</f>
        <v>79.86999999999999</v>
      </c>
      <c r="G214" s="126">
        <f>G181+G189+G196+G204+G213</f>
        <v>75.42999999999998</v>
      </c>
      <c r="H214" s="126">
        <f>H181+H189+H196+H204+H213</f>
        <v>396.34000000000003</v>
      </c>
      <c r="I214" s="125"/>
      <c r="J214" s="126">
        <f>J181+J189+J196+J204+J213</f>
        <v>3426.87</v>
      </c>
      <c r="K214" s="126">
        <f>K181+K189+K196+K204+K213</f>
        <v>93.26000000000002</v>
      </c>
      <c r="L214" s="126">
        <f>L181+L189+L196+L204+L213</f>
        <v>79.55999999999999</v>
      </c>
      <c r="M214" s="126">
        <f>M181+M189+M196+M204+M213</f>
        <v>488.79999999999995</v>
      </c>
      <c r="N214" s="125"/>
      <c r="O214" s="126">
        <f>O181+O189+O196+O204+O213</f>
        <v>3650.02</v>
      </c>
      <c r="P214" s="126">
        <f>P181+P189+P196+P204+P213</f>
        <v>99.31</v>
      </c>
      <c r="Q214" s="126">
        <f>Q181+Q189+Q196+Q204+Q213</f>
        <v>84.50999999999999</v>
      </c>
      <c r="R214" s="126">
        <f>R181+R189+R196+R204+R213</f>
        <v>501.56</v>
      </c>
    </row>
    <row r="215" spans="1:18" ht="21.75" customHeight="1">
      <c r="A215" s="127" t="s">
        <v>240</v>
      </c>
      <c r="B215" s="123"/>
      <c r="C215" s="124"/>
      <c r="D215" s="125"/>
      <c r="E215" s="126">
        <f>E214/5</f>
        <v>602.048</v>
      </c>
      <c r="F215" s="126">
        <f>F214/5</f>
        <v>15.973999999999998</v>
      </c>
      <c r="G215" s="126">
        <f>G214/5</f>
        <v>15.085999999999995</v>
      </c>
      <c r="H215" s="126">
        <f>H214/5</f>
        <v>79.268</v>
      </c>
      <c r="I215" s="125"/>
      <c r="J215" s="126">
        <f>J214/5</f>
        <v>685.374</v>
      </c>
      <c r="K215" s="126">
        <f>K214/5</f>
        <v>18.652000000000005</v>
      </c>
      <c r="L215" s="126">
        <f>L214/5</f>
        <v>15.911999999999997</v>
      </c>
      <c r="M215" s="126">
        <f>M214/5</f>
        <v>97.75999999999999</v>
      </c>
      <c r="N215" s="125"/>
      <c r="O215" s="126">
        <f>O214/5</f>
        <v>730.004</v>
      </c>
      <c r="P215" s="126">
        <f>P214/5</f>
        <v>19.862000000000002</v>
      </c>
      <c r="Q215" s="126">
        <f>Q214/5</f>
        <v>16.901999999999997</v>
      </c>
      <c r="R215" s="126">
        <f>R214/5</f>
        <v>100.312</v>
      </c>
    </row>
    <row r="216" spans="1:18" ht="15">
      <c r="A216" s="255" t="s">
        <v>248</v>
      </c>
      <c r="B216" s="256"/>
      <c r="C216" s="257"/>
      <c r="D216" s="125"/>
      <c r="E216" s="126">
        <f>E214+E169+E124+E78</f>
        <v>12029.639999999998</v>
      </c>
      <c r="F216" s="126"/>
      <c r="G216" s="126"/>
      <c r="H216" s="126"/>
      <c r="I216" s="125"/>
      <c r="J216" s="126">
        <f>J214+J169+J124+J78</f>
        <v>14102.34</v>
      </c>
      <c r="K216" s="126"/>
      <c r="L216" s="126"/>
      <c r="M216" s="126"/>
      <c r="N216" s="125"/>
      <c r="O216" s="126">
        <f>O214+O169+O124+O78</f>
        <v>14750.43</v>
      </c>
      <c r="P216" s="126"/>
      <c r="Q216" s="126"/>
      <c r="R216" s="126"/>
    </row>
    <row r="217" spans="1:18" ht="15">
      <c r="A217" s="127" t="s">
        <v>247</v>
      </c>
      <c r="B217" s="123"/>
      <c r="C217" s="124"/>
      <c r="D217" s="125"/>
      <c r="E217" s="126">
        <f>E216/4</f>
        <v>3007.4099999999994</v>
      </c>
      <c r="F217" s="126"/>
      <c r="G217" s="126"/>
      <c r="H217" s="126"/>
      <c r="I217" s="125"/>
      <c r="J217" s="126">
        <f>J216/4</f>
        <v>3525.585</v>
      </c>
      <c r="K217" s="126"/>
      <c r="L217" s="126"/>
      <c r="M217" s="126"/>
      <c r="N217" s="125"/>
      <c r="O217" s="126">
        <f>O216/4</f>
        <v>3687.6075</v>
      </c>
      <c r="P217" s="126"/>
      <c r="Q217" s="126"/>
      <c r="R217" s="126"/>
    </row>
    <row r="218" spans="1:18" ht="15">
      <c r="A218" s="187"/>
      <c r="B218" s="191"/>
      <c r="C218" s="188"/>
      <c r="D218" s="189"/>
      <c r="E218" s="190"/>
      <c r="F218" s="190"/>
      <c r="G218" s="190"/>
      <c r="H218" s="190"/>
      <c r="I218" s="189"/>
      <c r="J218" s="190"/>
      <c r="K218" s="190"/>
      <c r="L218" s="190"/>
      <c r="M218" s="190"/>
      <c r="N218" s="189"/>
      <c r="O218" s="190"/>
      <c r="P218" s="190"/>
      <c r="Q218" s="190"/>
      <c r="R218" s="190"/>
    </row>
    <row r="219" ht="15">
      <c r="L219" s="192"/>
    </row>
    <row r="222" spans="3:15" ht="15.75">
      <c r="C222" s="16"/>
      <c r="D222" s="252"/>
      <c r="E222" s="253"/>
      <c r="F222" s="253"/>
      <c r="G222" s="253"/>
      <c r="H222" s="253"/>
      <c r="I222" s="253"/>
      <c r="J222" s="253"/>
      <c r="K222" s="253"/>
      <c r="L222" s="253"/>
      <c r="M222" s="253"/>
      <c r="N222" s="253"/>
      <c r="O222" s="253"/>
    </row>
    <row r="223" spans="3:15" ht="15.75">
      <c r="C223" s="16"/>
      <c r="D223" s="170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</row>
    <row r="224" spans="3:15" ht="15">
      <c r="C224" s="60"/>
      <c r="D224" s="60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3:15" ht="15">
      <c r="C225" s="60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3:15" ht="15">
      <c r="C226" s="60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</sheetData>
  <sheetProtection/>
  <mergeCells count="32">
    <mergeCell ref="A79:C79"/>
    <mergeCell ref="A125:C125"/>
    <mergeCell ref="A53:C53"/>
    <mergeCell ref="A61:C61"/>
    <mergeCell ref="A169:C169"/>
    <mergeCell ref="A173:C173"/>
    <mergeCell ref="A1:C1"/>
    <mergeCell ref="A8:C8"/>
    <mergeCell ref="C15:N15"/>
    <mergeCell ref="C31:Q31"/>
    <mergeCell ref="D32:H32"/>
    <mergeCell ref="I32:M32"/>
    <mergeCell ref="A197:C197"/>
    <mergeCell ref="A205:C205"/>
    <mergeCell ref="A77:C77"/>
    <mergeCell ref="N32:R32"/>
    <mergeCell ref="D16:G16"/>
    <mergeCell ref="C17:N17"/>
    <mergeCell ref="A124:C124"/>
    <mergeCell ref="A106:C106"/>
    <mergeCell ref="C18:N18"/>
    <mergeCell ref="A60:C60"/>
    <mergeCell ref="A190:C190"/>
    <mergeCell ref="A170:C170"/>
    <mergeCell ref="A78:C78"/>
    <mergeCell ref="A68:C68"/>
    <mergeCell ref="D222:O222"/>
    <mergeCell ref="A153:C153"/>
    <mergeCell ref="A182:C182"/>
    <mergeCell ref="A189:C189"/>
    <mergeCell ref="A98:C98"/>
    <mergeCell ref="A216:C216"/>
  </mergeCells>
  <printOptions/>
  <pageMargins left="0.984251968503937" right="0.984251968503937" top="0.984251968503937" bottom="0.984251968503937" header="0.5118110236220472" footer="0.5118110236220472"/>
  <pageSetup orientation="landscape" paperSize="9" scale="44" r:id="rId1"/>
  <rowBreaks count="5" manualBreakCount="5">
    <brk id="30" max="20" man="1"/>
    <brk id="80" max="20" man="1"/>
    <brk id="125" max="20" man="1"/>
    <brk id="170" max="20" man="1"/>
    <brk id="21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S54"/>
  <sheetViews>
    <sheetView zoomScale="82" zoomScaleNormal="82" zoomScaleSheetLayoutView="100" workbookViewId="0" topLeftCell="A1">
      <selection activeCell="J41" sqref="J41"/>
    </sheetView>
  </sheetViews>
  <sheetFormatPr defaultColWidth="9.00390625" defaultRowHeight="15"/>
  <cols>
    <col min="1" max="1" width="21.421875" style="1" customWidth="1"/>
    <col min="2" max="2" width="8.7109375" style="1" customWidth="1"/>
    <col min="3" max="3" width="8.421875" style="1" customWidth="1"/>
    <col min="4" max="4" width="6.28125" style="1" customWidth="1"/>
    <col min="5" max="5" width="6.421875" style="1" customWidth="1"/>
    <col min="6" max="6" width="6.28125" style="1" customWidth="1"/>
    <col min="7" max="7" width="5.57421875" style="1" customWidth="1"/>
    <col min="8" max="8" width="5.7109375" style="1" customWidth="1"/>
    <col min="9" max="10" width="6.00390625" style="1" customWidth="1"/>
    <col min="11" max="11" width="5.7109375" style="1" customWidth="1"/>
    <col min="12" max="12" width="6.421875" style="1" customWidth="1"/>
    <col min="13" max="13" width="5.7109375" style="1" customWidth="1"/>
    <col min="14" max="14" width="4.57421875" style="1" customWidth="1"/>
    <col min="15" max="15" width="5.00390625" style="1" customWidth="1"/>
    <col min="16" max="16" width="4.140625" style="1" customWidth="1"/>
    <col min="17" max="17" width="13.8515625" style="1" customWidth="1"/>
    <col min="18" max="18" width="10.28125" style="1" customWidth="1"/>
    <col min="19" max="19" width="9.421875" style="1" customWidth="1"/>
  </cols>
  <sheetData>
    <row r="3" ht="15">
      <c r="C3" s="2"/>
    </row>
    <row r="5" spans="1:19" ht="36" customHeight="1">
      <c r="A5" s="288" t="s">
        <v>187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90"/>
    </row>
    <row r="6" spans="1:19" ht="21">
      <c r="A6" s="105" t="s">
        <v>65</v>
      </c>
      <c r="B6" s="106" t="s">
        <v>66</v>
      </c>
      <c r="C6" s="105" t="s">
        <v>67</v>
      </c>
      <c r="D6" s="107" t="s">
        <v>68</v>
      </c>
      <c r="E6" s="107" t="s">
        <v>69</v>
      </c>
      <c r="F6" s="107" t="s">
        <v>70</v>
      </c>
      <c r="G6" s="107" t="s">
        <v>71</v>
      </c>
      <c r="H6" s="107" t="s">
        <v>72</v>
      </c>
      <c r="I6" s="107" t="s">
        <v>73</v>
      </c>
      <c r="J6" s="107" t="s">
        <v>74</v>
      </c>
      <c r="K6" s="107" t="s">
        <v>75</v>
      </c>
      <c r="L6" s="107" t="s">
        <v>76</v>
      </c>
      <c r="M6" s="107" t="s">
        <v>77</v>
      </c>
      <c r="N6" s="282" t="s">
        <v>78</v>
      </c>
      <c r="O6" s="283"/>
      <c r="P6" s="284"/>
      <c r="Q6" s="104" t="s">
        <v>79</v>
      </c>
      <c r="R6" s="104" t="s">
        <v>80</v>
      </c>
      <c r="S6" s="104" t="s">
        <v>81</v>
      </c>
    </row>
    <row r="7" spans="1:19" ht="15">
      <c r="A7" s="3" t="s">
        <v>228</v>
      </c>
      <c r="B7" s="109" t="s">
        <v>82</v>
      </c>
      <c r="C7" s="109" t="s">
        <v>83</v>
      </c>
      <c r="D7" s="119">
        <f>17+49+57.5+6</f>
        <v>129.5</v>
      </c>
      <c r="E7" s="119">
        <f>40+20+98</f>
        <v>158</v>
      </c>
      <c r="F7" s="119">
        <f>61.4+10</f>
        <v>71.4</v>
      </c>
      <c r="G7" s="119">
        <f>28+30+56.7</f>
        <v>114.7</v>
      </c>
      <c r="H7" s="119">
        <f>15.06+34+20</f>
        <v>69.06</v>
      </c>
      <c r="I7" s="119">
        <f>26+33+27.5+25.8</f>
        <v>112.3</v>
      </c>
      <c r="J7" s="119">
        <f>20+57.3+3</f>
        <v>80.3</v>
      </c>
      <c r="K7" s="119">
        <f>24</f>
        <v>24</v>
      </c>
      <c r="L7" s="119">
        <f>98+15+50</f>
        <v>163</v>
      </c>
      <c r="M7" s="119">
        <f>15.6+98</f>
        <v>113.6</v>
      </c>
      <c r="N7" s="276">
        <f>SUM(D7:M7)</f>
        <v>1035.86</v>
      </c>
      <c r="O7" s="277"/>
      <c r="P7" s="278"/>
      <c r="Q7" s="8" t="s">
        <v>84</v>
      </c>
      <c r="R7" s="8">
        <f aca="true" t="shared" si="0" ref="R7:R16">(N7*100)/Q7</f>
        <v>103.58599999999998</v>
      </c>
      <c r="S7" s="118">
        <f>-1*(100-R7)</f>
        <v>3.5859999999999843</v>
      </c>
    </row>
    <row r="8" spans="1:19" ht="15">
      <c r="A8" s="3" t="s">
        <v>217</v>
      </c>
      <c r="B8" s="109" t="s">
        <v>82</v>
      </c>
      <c r="C8" s="109" t="s">
        <v>83</v>
      </c>
      <c r="D8" s="119">
        <f>5+85.5</f>
        <v>90.5</v>
      </c>
      <c r="E8" s="119">
        <v>125.3</v>
      </c>
      <c r="F8" s="119">
        <f>85.5+10</f>
        <v>95.5</v>
      </c>
      <c r="G8" s="119">
        <f>8+85.5</f>
        <v>93.5</v>
      </c>
      <c r="H8" s="119">
        <v>85.5</v>
      </c>
      <c r="I8" s="119">
        <v>85.5</v>
      </c>
      <c r="J8" s="119">
        <f>85.5+37.5</f>
        <v>123</v>
      </c>
      <c r="K8" s="119">
        <v>125.3</v>
      </c>
      <c r="L8" s="119">
        <f>85.5+5</f>
        <v>90.5</v>
      </c>
      <c r="M8" s="119">
        <v>85.5</v>
      </c>
      <c r="N8" s="276">
        <f>SUM(D8:M8)</f>
        <v>1000.0999999999999</v>
      </c>
      <c r="O8" s="277"/>
      <c r="P8" s="278"/>
      <c r="Q8" s="8" t="s">
        <v>84</v>
      </c>
      <c r="R8" s="8">
        <f t="shared" si="0"/>
        <v>100.00999999999999</v>
      </c>
      <c r="S8" s="118">
        <f aca="true" t="shared" si="1" ref="S8:S17">-1*(100-R8)</f>
        <v>0.009999999999990905</v>
      </c>
    </row>
    <row r="9" spans="1:19" ht="15">
      <c r="A9" s="3" t="s">
        <v>86</v>
      </c>
      <c r="B9" s="109" t="s">
        <v>87</v>
      </c>
      <c r="C9" s="109" t="s">
        <v>88</v>
      </c>
      <c r="D9" s="119"/>
      <c r="E9" s="119">
        <v>200</v>
      </c>
      <c r="F9" s="119"/>
      <c r="G9" s="119"/>
      <c r="H9" s="119"/>
      <c r="I9" s="119"/>
      <c r="J9" s="119"/>
      <c r="K9" s="119"/>
      <c r="L9" s="119"/>
      <c r="M9" s="119">
        <v>200</v>
      </c>
      <c r="N9" s="276">
        <f>SUM(D9:M9)</f>
        <v>400</v>
      </c>
      <c r="O9" s="277"/>
      <c r="P9" s="278"/>
      <c r="Q9" s="8" t="s">
        <v>89</v>
      </c>
      <c r="R9" s="8">
        <f t="shared" si="0"/>
        <v>100</v>
      </c>
      <c r="S9" s="118">
        <f t="shared" si="1"/>
        <v>0</v>
      </c>
    </row>
    <row r="10" spans="1:19" ht="15">
      <c r="A10" s="3" t="s">
        <v>90</v>
      </c>
      <c r="B10" s="109" t="s">
        <v>91</v>
      </c>
      <c r="C10" s="109" t="s">
        <v>92</v>
      </c>
      <c r="D10" s="119"/>
      <c r="E10" s="119"/>
      <c r="F10" s="119">
        <v>4</v>
      </c>
      <c r="G10" s="119">
        <f>2.5+7.5</f>
        <v>10</v>
      </c>
      <c r="H10" s="119">
        <v>30</v>
      </c>
      <c r="I10" s="119">
        <v>30</v>
      </c>
      <c r="J10" s="119">
        <v>7.5</v>
      </c>
      <c r="K10" s="119"/>
      <c r="L10" s="119"/>
      <c r="M10" s="119"/>
      <c r="N10" s="276">
        <f aca="true" t="shared" si="2" ref="N10:N27">SUM(D10:M10)</f>
        <v>81.5</v>
      </c>
      <c r="O10" s="277"/>
      <c r="P10" s="278"/>
      <c r="Q10" s="8">
        <v>100</v>
      </c>
      <c r="R10" s="8">
        <f t="shared" si="0"/>
        <v>81.5</v>
      </c>
      <c r="S10" s="118">
        <f t="shared" si="1"/>
        <v>-18.5</v>
      </c>
    </row>
    <row r="11" spans="1:19" ht="15">
      <c r="A11" s="3" t="s">
        <v>226</v>
      </c>
      <c r="B11" s="109" t="s">
        <v>93</v>
      </c>
      <c r="C11" s="109" t="s">
        <v>94</v>
      </c>
      <c r="D11" s="119">
        <f>31.5</f>
        <v>31.5</v>
      </c>
      <c r="E11" s="119">
        <f>8+60</f>
        <v>68</v>
      </c>
      <c r="F11" s="119">
        <f>4.5</f>
        <v>4.5</v>
      </c>
      <c r="G11" s="119">
        <f>40</f>
        <v>40</v>
      </c>
      <c r="H11" s="119">
        <v>40.8</v>
      </c>
      <c r="I11" s="119">
        <f>48</f>
        <v>48</v>
      </c>
      <c r="J11" s="119">
        <f>8+21.5</f>
        <v>29.5</v>
      </c>
      <c r="K11" s="119">
        <f>4</f>
        <v>4</v>
      </c>
      <c r="L11" s="119">
        <f>40.8</f>
        <v>40.8</v>
      </c>
      <c r="M11" s="119">
        <v>57.1</v>
      </c>
      <c r="N11" s="276">
        <f t="shared" si="2"/>
        <v>364.20000000000005</v>
      </c>
      <c r="O11" s="277"/>
      <c r="P11" s="278"/>
      <c r="Q11" s="8" t="s">
        <v>95</v>
      </c>
      <c r="R11" s="118">
        <f t="shared" si="0"/>
        <v>37.93750000000001</v>
      </c>
      <c r="S11" s="118">
        <f t="shared" si="1"/>
        <v>-62.06249999999999</v>
      </c>
    </row>
    <row r="12" spans="1:19" ht="15">
      <c r="A12" s="3" t="s">
        <v>227</v>
      </c>
      <c r="B12" s="109" t="s">
        <v>87</v>
      </c>
      <c r="C12" s="109" t="s">
        <v>94</v>
      </c>
      <c r="D12" s="119">
        <v>24</v>
      </c>
      <c r="E12" s="119">
        <v>24</v>
      </c>
      <c r="F12" s="119">
        <v>24</v>
      </c>
      <c r="G12" s="119">
        <v>24</v>
      </c>
      <c r="H12" s="119">
        <v>24</v>
      </c>
      <c r="I12" s="119">
        <v>24</v>
      </c>
      <c r="J12" s="119">
        <v>24</v>
      </c>
      <c r="K12" s="119">
        <v>24</v>
      </c>
      <c r="L12" s="119">
        <v>24</v>
      </c>
      <c r="M12" s="119">
        <v>24</v>
      </c>
      <c r="N12" s="276">
        <f t="shared" si="2"/>
        <v>240</v>
      </c>
      <c r="O12" s="277"/>
      <c r="P12" s="278"/>
      <c r="Q12" s="8" t="s">
        <v>96</v>
      </c>
      <c r="R12" s="8">
        <f t="shared" si="0"/>
        <v>100</v>
      </c>
      <c r="S12" s="118">
        <f t="shared" si="1"/>
        <v>0</v>
      </c>
    </row>
    <row r="13" spans="1:19" ht="15">
      <c r="A13" s="3" t="s">
        <v>218</v>
      </c>
      <c r="B13" s="109" t="s">
        <v>97</v>
      </c>
      <c r="C13" s="109" t="s">
        <v>98</v>
      </c>
      <c r="D13" s="119">
        <v>30</v>
      </c>
      <c r="E13" s="119"/>
      <c r="F13" s="119">
        <v>30</v>
      </c>
      <c r="G13" s="119"/>
      <c r="H13" s="119">
        <v>30</v>
      </c>
      <c r="I13" s="119">
        <v>30</v>
      </c>
      <c r="J13" s="119"/>
      <c r="K13" s="119">
        <v>30</v>
      </c>
      <c r="L13" s="119">
        <v>30</v>
      </c>
      <c r="M13" s="119"/>
      <c r="N13" s="276">
        <f t="shared" si="2"/>
        <v>180</v>
      </c>
      <c r="O13" s="277"/>
      <c r="P13" s="278"/>
      <c r="Q13" s="8" t="s">
        <v>99</v>
      </c>
      <c r="R13" s="8">
        <f t="shared" si="0"/>
        <v>100</v>
      </c>
      <c r="S13" s="118">
        <f t="shared" si="1"/>
        <v>0</v>
      </c>
    </row>
    <row r="14" spans="1:19" ht="15">
      <c r="A14" s="3" t="s">
        <v>100</v>
      </c>
      <c r="B14" s="109" t="s">
        <v>91</v>
      </c>
      <c r="C14" s="109" t="s">
        <v>101</v>
      </c>
      <c r="D14" s="119">
        <v>69</v>
      </c>
      <c r="E14" s="119">
        <v>71</v>
      </c>
      <c r="F14" s="119"/>
      <c r="G14" s="119"/>
      <c r="H14" s="119"/>
      <c r="I14" s="119">
        <v>70</v>
      </c>
      <c r="J14" s="119">
        <v>70</v>
      </c>
      <c r="K14" s="119"/>
      <c r="L14" s="119"/>
      <c r="M14" s="119"/>
      <c r="N14" s="276">
        <f t="shared" si="2"/>
        <v>280</v>
      </c>
      <c r="O14" s="277"/>
      <c r="P14" s="278"/>
      <c r="Q14" s="8" t="s">
        <v>102</v>
      </c>
      <c r="R14" s="8">
        <f t="shared" si="0"/>
        <v>100</v>
      </c>
      <c r="S14" s="118">
        <f t="shared" si="1"/>
        <v>0</v>
      </c>
    </row>
    <row r="15" spans="1:19" ht="15">
      <c r="A15" s="3" t="s">
        <v>103</v>
      </c>
      <c r="B15" s="109" t="s">
        <v>87</v>
      </c>
      <c r="C15" s="109" t="s">
        <v>104</v>
      </c>
      <c r="D15" s="119"/>
      <c r="E15" s="119"/>
      <c r="F15" s="119"/>
      <c r="G15" s="119">
        <v>60</v>
      </c>
      <c r="H15" s="119"/>
      <c r="I15" s="119"/>
      <c r="J15" s="119"/>
      <c r="K15" s="119"/>
      <c r="L15" s="119">
        <v>60</v>
      </c>
      <c r="M15" s="119"/>
      <c r="N15" s="276">
        <f t="shared" si="2"/>
        <v>120</v>
      </c>
      <c r="O15" s="277"/>
      <c r="P15" s="278"/>
      <c r="Q15" s="8" t="s">
        <v>94</v>
      </c>
      <c r="R15" s="8">
        <f t="shared" si="0"/>
        <v>100</v>
      </c>
      <c r="S15" s="118">
        <f t="shared" si="1"/>
        <v>0</v>
      </c>
    </row>
    <row r="16" spans="1:19" ht="15">
      <c r="A16" s="3" t="s">
        <v>105</v>
      </c>
      <c r="B16" s="109" t="s">
        <v>87</v>
      </c>
      <c r="C16" s="109" t="s">
        <v>87</v>
      </c>
      <c r="D16" s="119"/>
      <c r="E16" s="119"/>
      <c r="F16" s="119"/>
      <c r="G16" s="119"/>
      <c r="H16" s="119">
        <v>1</v>
      </c>
      <c r="I16" s="119"/>
      <c r="J16" s="119"/>
      <c r="K16" s="119"/>
      <c r="L16" s="119"/>
      <c r="M16" s="119">
        <v>1</v>
      </c>
      <c r="N16" s="276">
        <f t="shared" si="2"/>
        <v>2</v>
      </c>
      <c r="O16" s="277"/>
      <c r="P16" s="278"/>
      <c r="Q16" s="8">
        <v>2</v>
      </c>
      <c r="R16" s="8">
        <f t="shared" si="0"/>
        <v>100</v>
      </c>
      <c r="S16" s="118">
        <f t="shared" si="1"/>
        <v>0</v>
      </c>
    </row>
    <row r="17" spans="1:19" ht="15">
      <c r="A17" s="4" t="s">
        <v>106</v>
      </c>
      <c r="B17" s="110" t="s">
        <v>107</v>
      </c>
      <c r="C17" s="114" t="s">
        <v>88</v>
      </c>
      <c r="D17" s="121"/>
      <c r="E17" s="121">
        <v>4</v>
      </c>
      <c r="F17" s="121">
        <v>190</v>
      </c>
      <c r="G17" s="121"/>
      <c r="H17" s="121"/>
      <c r="I17" s="121"/>
      <c r="J17" s="121">
        <v>7</v>
      </c>
      <c r="K17" s="121">
        <v>190</v>
      </c>
      <c r="L17" s="121">
        <v>95</v>
      </c>
      <c r="M17" s="121"/>
      <c r="N17" s="108">
        <f t="shared" si="2"/>
        <v>486</v>
      </c>
      <c r="O17" s="108">
        <f>IF(C17=0,0,N17/C17)</f>
        <v>2.43</v>
      </c>
      <c r="P17" s="274">
        <f>SUM(O17:O21)</f>
        <v>7.3500000000000005</v>
      </c>
      <c r="Q17" s="275">
        <v>10</v>
      </c>
      <c r="R17" s="271">
        <f>(P17*100)/Q17</f>
        <v>73.5</v>
      </c>
      <c r="S17" s="271">
        <f t="shared" si="1"/>
        <v>-26.5</v>
      </c>
    </row>
    <row r="18" spans="1:19" ht="15">
      <c r="A18" s="4" t="s">
        <v>108</v>
      </c>
      <c r="B18" s="111" t="s">
        <v>107</v>
      </c>
      <c r="C18" s="114" t="s">
        <v>92</v>
      </c>
      <c r="D18" s="121"/>
      <c r="E18" s="121">
        <v>7</v>
      </c>
      <c r="F18" s="121">
        <f>4+3</f>
        <v>7</v>
      </c>
      <c r="G18" s="121">
        <v>5</v>
      </c>
      <c r="H18" s="121"/>
      <c r="I18" s="121"/>
      <c r="J18" s="121"/>
      <c r="K18" s="121">
        <v>24</v>
      </c>
      <c r="L18" s="121"/>
      <c r="M18" s="121"/>
      <c r="N18" s="108">
        <f t="shared" si="2"/>
        <v>43</v>
      </c>
      <c r="O18" s="108">
        <f>IF(C18=0,0,N18/C18)</f>
        <v>1.72</v>
      </c>
      <c r="P18" s="272"/>
      <c r="Q18" s="272"/>
      <c r="R18" s="272"/>
      <c r="S18" s="272"/>
    </row>
    <row r="19" spans="1:19" ht="15">
      <c r="A19" s="4" t="s">
        <v>109</v>
      </c>
      <c r="B19" s="111" t="s">
        <v>107</v>
      </c>
      <c r="C19" s="114" t="s">
        <v>110</v>
      </c>
      <c r="D19" s="121"/>
      <c r="E19" s="121"/>
      <c r="F19" s="121">
        <v>66</v>
      </c>
      <c r="G19" s="121"/>
      <c r="H19" s="121"/>
      <c r="I19" s="121"/>
      <c r="J19" s="121"/>
      <c r="K19" s="121">
        <v>84</v>
      </c>
      <c r="L19" s="121"/>
      <c r="M19" s="121"/>
      <c r="N19" s="108">
        <f t="shared" si="2"/>
        <v>150</v>
      </c>
      <c r="O19" s="108">
        <f>IF(C19=0,0,N19/C19)</f>
        <v>1.2</v>
      </c>
      <c r="P19" s="272"/>
      <c r="Q19" s="272"/>
      <c r="R19" s="272"/>
      <c r="S19" s="272"/>
    </row>
    <row r="20" spans="1:19" ht="15">
      <c r="A20" s="4" t="s">
        <v>26</v>
      </c>
      <c r="B20" s="112" t="s">
        <v>82</v>
      </c>
      <c r="C20" s="114" t="s">
        <v>111</v>
      </c>
      <c r="D20" s="121">
        <v>15</v>
      </c>
      <c r="E20" s="121"/>
      <c r="F20" s="121"/>
      <c r="G20" s="121"/>
      <c r="H20" s="121"/>
      <c r="I20" s="121"/>
      <c r="J20" s="121"/>
      <c r="K20" s="121"/>
      <c r="L20" s="121">
        <v>15</v>
      </c>
      <c r="M20" s="121"/>
      <c r="N20" s="108">
        <f t="shared" si="2"/>
        <v>30</v>
      </c>
      <c r="O20" s="121">
        <f>IF(C20=0,0,N20/C20)</f>
        <v>2</v>
      </c>
      <c r="P20" s="272"/>
      <c r="Q20" s="272"/>
      <c r="R20" s="272"/>
      <c r="S20" s="272"/>
    </row>
    <row r="21" spans="1:19" ht="15">
      <c r="A21" s="4" t="s">
        <v>112</v>
      </c>
      <c r="B21" s="113" t="s">
        <v>107</v>
      </c>
      <c r="C21" s="115">
        <v>125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08">
        <f t="shared" si="2"/>
        <v>0</v>
      </c>
      <c r="O21" s="108">
        <f>IF(C21=0,0,N21/C21)</f>
        <v>0</v>
      </c>
      <c r="P21" s="273"/>
      <c r="Q21" s="273"/>
      <c r="R21" s="273"/>
      <c r="S21" s="273"/>
    </row>
    <row r="22" spans="1:19" ht="15">
      <c r="A22" s="3" t="s">
        <v>113</v>
      </c>
      <c r="B22" s="109" t="s">
        <v>82</v>
      </c>
      <c r="C22" s="109" t="s">
        <v>97</v>
      </c>
      <c r="D22" s="119">
        <f>2+1.5</f>
        <v>3.5</v>
      </c>
      <c r="E22" s="119">
        <f>2.4</f>
        <v>2.4</v>
      </c>
      <c r="F22" s="119"/>
      <c r="G22" s="122">
        <f>1.8</f>
        <v>1.8</v>
      </c>
      <c r="H22" s="119">
        <f>2.4</f>
        <v>2.4</v>
      </c>
      <c r="I22" s="119">
        <f>2.5</f>
        <v>2.5</v>
      </c>
      <c r="J22" s="119">
        <f>3.5</f>
        <v>3.5</v>
      </c>
      <c r="K22" s="119">
        <v>3</v>
      </c>
      <c r="L22" s="119">
        <f>2.4+2</f>
        <v>4.4</v>
      </c>
      <c r="M22" s="119">
        <f>3+2+1</f>
        <v>6</v>
      </c>
      <c r="N22" s="276">
        <f t="shared" si="2"/>
        <v>29.5</v>
      </c>
      <c r="O22" s="277"/>
      <c r="P22" s="278"/>
      <c r="Q22" s="8" t="s">
        <v>98</v>
      </c>
      <c r="R22" s="8">
        <f aca="true" t="shared" si="3" ref="R22:R27">(N22*100)/Q22</f>
        <v>98.33333333333333</v>
      </c>
      <c r="S22" s="118">
        <f aca="true" t="shared" si="4" ref="S22:S27">-1*(100-R22)</f>
        <v>-1.6666666666666714</v>
      </c>
    </row>
    <row r="23" spans="1:19" ht="15">
      <c r="A23" s="3" t="s">
        <v>114</v>
      </c>
      <c r="B23" s="109">
        <v>5</v>
      </c>
      <c r="C23" s="109" t="s">
        <v>115</v>
      </c>
      <c r="D23" s="119">
        <f>3+5+2.5</f>
        <v>10.5</v>
      </c>
      <c r="E23" s="119">
        <f>4+1+2.3</f>
        <v>7.3</v>
      </c>
      <c r="F23" s="119">
        <f>4+1</f>
        <v>5</v>
      </c>
      <c r="G23" s="119">
        <f>2+2.4+2.4</f>
        <v>6.800000000000001</v>
      </c>
      <c r="H23" s="119">
        <f>4+2</f>
        <v>6</v>
      </c>
      <c r="I23" s="119">
        <f>1.6+1.1+2.3</f>
        <v>5</v>
      </c>
      <c r="J23" s="119">
        <f>2+1.3+1.7</f>
        <v>5</v>
      </c>
      <c r="K23" s="119">
        <v>2</v>
      </c>
      <c r="L23" s="119">
        <f>4+1.2</f>
        <v>5.2</v>
      </c>
      <c r="M23" s="119">
        <f>2</f>
        <v>2</v>
      </c>
      <c r="N23" s="276">
        <f t="shared" si="2"/>
        <v>54.800000000000004</v>
      </c>
      <c r="O23" s="277"/>
      <c r="P23" s="278"/>
      <c r="Q23" s="8" t="s">
        <v>116</v>
      </c>
      <c r="R23" s="118">
        <f t="shared" si="3"/>
        <v>99.63636363636364</v>
      </c>
      <c r="S23" s="118">
        <f t="shared" si="4"/>
        <v>-0.36363636363635976</v>
      </c>
    </row>
    <row r="24" spans="1:19" ht="15">
      <c r="A24" s="3" t="s">
        <v>117</v>
      </c>
      <c r="B24" s="109" t="s">
        <v>82</v>
      </c>
      <c r="C24" s="109" t="s">
        <v>87</v>
      </c>
      <c r="D24" s="119">
        <f>0.4+0.2+0.2+0.3</f>
        <v>1.1</v>
      </c>
      <c r="E24" s="119">
        <f>0.2+0.3+0.2+0.2</f>
        <v>0.8999999999999999</v>
      </c>
      <c r="F24" s="119">
        <f>0.6</f>
        <v>0.6</v>
      </c>
      <c r="G24" s="119">
        <f>0.2+0.4+0.1</f>
        <v>0.7000000000000001</v>
      </c>
      <c r="H24" s="119">
        <f>0.6+0.5+0.1</f>
        <v>1.2000000000000002</v>
      </c>
      <c r="I24" s="119">
        <f>0.4+0.2+0.2</f>
        <v>0.8</v>
      </c>
      <c r="J24" s="119">
        <f>0.3+0.2+0.2+0.2</f>
        <v>0.8999999999999999</v>
      </c>
      <c r="K24" s="119">
        <f>0.2+0.4</f>
        <v>0.6000000000000001</v>
      </c>
      <c r="L24" s="119">
        <f>0.3+0.5+0.2+0.3</f>
        <v>1.3</v>
      </c>
      <c r="M24" s="119">
        <f>0.4+0.2+0.2</f>
        <v>0.8</v>
      </c>
      <c r="N24" s="276">
        <f t="shared" si="2"/>
        <v>8.9</v>
      </c>
      <c r="O24" s="277"/>
      <c r="P24" s="278"/>
      <c r="Q24" s="8" t="s">
        <v>118</v>
      </c>
      <c r="R24" s="8">
        <f t="shared" si="3"/>
        <v>89</v>
      </c>
      <c r="S24" s="118">
        <f t="shared" si="4"/>
        <v>-11</v>
      </c>
    </row>
    <row r="25" spans="1:19" ht="15">
      <c r="A25" s="3" t="s">
        <v>119</v>
      </c>
      <c r="B25" s="109" t="s">
        <v>82</v>
      </c>
      <c r="C25" s="109" t="s">
        <v>120</v>
      </c>
      <c r="D25" s="119">
        <f>2.5</f>
        <v>2.5</v>
      </c>
      <c r="E25" s="119"/>
      <c r="F25" s="119">
        <f>1.2+8.6</f>
        <v>9.799999999999999</v>
      </c>
      <c r="G25" s="119">
        <f>0.7+7.5</f>
        <v>8.2</v>
      </c>
      <c r="H25" s="119">
        <f>7.5</f>
        <v>7.5</v>
      </c>
      <c r="I25" s="119">
        <f>1.4+0.7+7.5</f>
        <v>9.6</v>
      </c>
      <c r="J25" s="119">
        <f>1</f>
        <v>1</v>
      </c>
      <c r="K25" s="119">
        <f>6+1.3</f>
        <v>7.3</v>
      </c>
      <c r="L25" s="119">
        <v>0.6</v>
      </c>
      <c r="M25" s="119"/>
      <c r="N25" s="276">
        <f t="shared" si="2"/>
        <v>46.5</v>
      </c>
      <c r="O25" s="277"/>
      <c r="P25" s="278"/>
      <c r="Q25" s="8" t="s">
        <v>121</v>
      </c>
      <c r="R25" s="118">
        <f t="shared" si="3"/>
        <v>62</v>
      </c>
      <c r="S25" s="118">
        <f t="shared" si="4"/>
        <v>-38</v>
      </c>
    </row>
    <row r="26" spans="1:19" ht="15">
      <c r="A26" s="3" t="s">
        <v>122</v>
      </c>
      <c r="B26" s="109" t="s">
        <v>87</v>
      </c>
      <c r="C26" s="109" t="s">
        <v>123</v>
      </c>
      <c r="D26" s="119"/>
      <c r="E26" s="119"/>
      <c r="F26" s="119">
        <v>6</v>
      </c>
      <c r="G26" s="119"/>
      <c r="H26" s="119"/>
      <c r="I26" s="119"/>
      <c r="J26" s="119"/>
      <c r="K26" s="119">
        <v>6</v>
      </c>
      <c r="L26" s="119"/>
      <c r="M26" s="119"/>
      <c r="N26" s="276">
        <f t="shared" si="2"/>
        <v>12</v>
      </c>
      <c r="O26" s="277"/>
      <c r="P26" s="278"/>
      <c r="Q26" s="8" t="s">
        <v>124</v>
      </c>
      <c r="R26" s="8">
        <f t="shared" si="3"/>
        <v>100</v>
      </c>
      <c r="S26" s="118">
        <f t="shared" si="4"/>
        <v>0</v>
      </c>
    </row>
    <row r="27" spans="1:19" ht="15">
      <c r="A27" s="228" t="s">
        <v>125</v>
      </c>
      <c r="B27" s="229" t="s">
        <v>87</v>
      </c>
      <c r="C27" s="229" t="s">
        <v>126</v>
      </c>
      <c r="D27" s="230">
        <v>0.5</v>
      </c>
      <c r="E27" s="230"/>
      <c r="F27" s="230"/>
      <c r="G27" s="230"/>
      <c r="H27" s="230"/>
      <c r="I27" s="230"/>
      <c r="J27" s="230"/>
      <c r="K27" s="230"/>
      <c r="L27" s="230">
        <v>0.5</v>
      </c>
      <c r="M27" s="230"/>
      <c r="N27" s="285">
        <f t="shared" si="2"/>
        <v>1</v>
      </c>
      <c r="O27" s="286"/>
      <c r="P27" s="287"/>
      <c r="Q27" s="231" t="s">
        <v>87</v>
      </c>
      <c r="R27" s="231">
        <f t="shared" si="3"/>
        <v>100</v>
      </c>
      <c r="S27" s="232">
        <f t="shared" si="4"/>
        <v>0</v>
      </c>
    </row>
    <row r="28" spans="1:19" ht="15">
      <c r="A28" s="166"/>
      <c r="B28" s="233"/>
      <c r="C28" s="233"/>
      <c r="D28" s="233"/>
      <c r="E28" s="233"/>
      <c r="F28" s="233"/>
      <c r="G28" s="234"/>
      <c r="H28" s="233"/>
      <c r="I28" s="234"/>
      <c r="J28" s="233"/>
      <c r="K28" s="233"/>
      <c r="L28" s="233"/>
      <c r="M28" s="233"/>
      <c r="N28" s="233"/>
      <c r="O28" s="233"/>
      <c r="P28" s="233"/>
      <c r="Q28" s="233"/>
      <c r="R28" s="233"/>
      <c r="S28" s="233"/>
    </row>
    <row r="31" spans="1:19" ht="22.5" customHeight="1">
      <c r="A31" s="279" t="s">
        <v>229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1"/>
    </row>
    <row r="32" spans="1:19" ht="21">
      <c r="A32" s="105" t="s">
        <v>65</v>
      </c>
      <c r="B32" s="116" t="s">
        <v>66</v>
      </c>
      <c r="C32" s="117" t="s">
        <v>67</v>
      </c>
      <c r="D32" s="107" t="s">
        <v>68</v>
      </c>
      <c r="E32" s="107" t="s">
        <v>69</v>
      </c>
      <c r="F32" s="107" t="s">
        <v>70</v>
      </c>
      <c r="G32" s="107" t="s">
        <v>71</v>
      </c>
      <c r="H32" s="107" t="s">
        <v>72</v>
      </c>
      <c r="I32" s="107" t="s">
        <v>73</v>
      </c>
      <c r="J32" s="107" t="s">
        <v>74</v>
      </c>
      <c r="K32" s="107" t="s">
        <v>75</v>
      </c>
      <c r="L32" s="107" t="s">
        <v>76</v>
      </c>
      <c r="M32" s="107" t="s">
        <v>77</v>
      </c>
      <c r="N32" s="282" t="s">
        <v>78</v>
      </c>
      <c r="O32" s="283"/>
      <c r="P32" s="284"/>
      <c r="Q32" s="104" t="s">
        <v>79</v>
      </c>
      <c r="R32" s="104" t="s">
        <v>80</v>
      </c>
      <c r="S32" s="104" t="s">
        <v>81</v>
      </c>
    </row>
    <row r="33" spans="1:19" ht="15">
      <c r="A33" s="3" t="s">
        <v>228</v>
      </c>
      <c r="B33" s="109" t="s">
        <v>82</v>
      </c>
      <c r="C33" s="109" t="s">
        <v>83</v>
      </c>
      <c r="D33" s="119">
        <f>16+22+57.5+6</f>
        <v>101.5</v>
      </c>
      <c r="E33" s="119">
        <f>20+56.7</f>
        <v>76.7</v>
      </c>
      <c r="F33" s="119">
        <f>22.6</f>
        <v>22.6</v>
      </c>
      <c r="G33" s="119">
        <f>16+56.7</f>
        <v>72.7</v>
      </c>
      <c r="H33" s="119">
        <f>10.1+54</f>
        <v>64.1</v>
      </c>
      <c r="I33" s="119">
        <f>25.9+32.9+65.5</f>
        <v>124.3</v>
      </c>
      <c r="J33" s="119">
        <f>28+56.7</f>
        <v>84.7</v>
      </c>
      <c r="K33" s="119">
        <f>89.6</f>
        <v>89.6</v>
      </c>
      <c r="L33" s="119">
        <f>57.6+12.2+75.65</f>
        <v>145.45</v>
      </c>
      <c r="M33" s="119">
        <f>79.6+67</f>
        <v>146.6</v>
      </c>
      <c r="N33" s="276">
        <f>SUM(D33:M33)</f>
        <v>928.2500000000001</v>
      </c>
      <c r="O33" s="277"/>
      <c r="P33" s="278"/>
      <c r="Q33" s="8" t="s">
        <v>84</v>
      </c>
      <c r="R33" s="8">
        <f aca="true" t="shared" si="5" ref="R33:R42">(N33*100)/Q33</f>
        <v>92.82500000000002</v>
      </c>
      <c r="S33" s="118">
        <f>-1*(100-R33)</f>
        <v>-7.174999999999983</v>
      </c>
    </row>
    <row r="34" spans="1:19" ht="15">
      <c r="A34" s="3" t="s">
        <v>85</v>
      </c>
      <c r="B34" s="109" t="s">
        <v>82</v>
      </c>
      <c r="C34" s="109" t="s">
        <v>83</v>
      </c>
      <c r="D34" s="119">
        <f>5+85.5</f>
        <v>90.5</v>
      </c>
      <c r="E34" s="119">
        <f>85.5+37.5</f>
        <v>123</v>
      </c>
      <c r="F34" s="119">
        <v>85.5</v>
      </c>
      <c r="G34" s="119">
        <v>85.5</v>
      </c>
      <c r="H34" s="119">
        <v>85.5</v>
      </c>
      <c r="I34" s="119">
        <f>85.5+5</f>
        <v>90.5</v>
      </c>
      <c r="J34" s="119">
        <f>85.5+8</f>
        <v>93.5</v>
      </c>
      <c r="K34" s="119">
        <f>85.5+25</f>
        <v>110.5</v>
      </c>
      <c r="L34" s="119">
        <v>125.3</v>
      </c>
      <c r="M34" s="119">
        <v>85.5</v>
      </c>
      <c r="N34" s="276">
        <f>SUM(D34:M34)</f>
        <v>975.3</v>
      </c>
      <c r="O34" s="277"/>
      <c r="P34" s="278"/>
      <c r="Q34" s="8" t="s">
        <v>84</v>
      </c>
      <c r="R34" s="8">
        <f t="shared" si="5"/>
        <v>97.53</v>
      </c>
      <c r="S34" s="118">
        <f aca="true" t="shared" si="6" ref="S34:S43">-1*(100-R34)</f>
        <v>-2.469999999999999</v>
      </c>
    </row>
    <row r="35" spans="1:19" ht="15">
      <c r="A35" s="3" t="s">
        <v>86</v>
      </c>
      <c r="B35" s="109" t="s">
        <v>87</v>
      </c>
      <c r="C35" s="109" t="s">
        <v>88</v>
      </c>
      <c r="D35" s="119"/>
      <c r="E35" s="119"/>
      <c r="F35" s="119"/>
      <c r="G35" s="119"/>
      <c r="H35" s="119">
        <v>200</v>
      </c>
      <c r="I35" s="119"/>
      <c r="J35" s="119"/>
      <c r="K35" s="119"/>
      <c r="L35" s="120"/>
      <c r="M35" s="119">
        <v>200</v>
      </c>
      <c r="N35" s="276">
        <f>SUM(D35:M35)</f>
        <v>400</v>
      </c>
      <c r="O35" s="277"/>
      <c r="P35" s="278"/>
      <c r="Q35" s="8" t="s">
        <v>89</v>
      </c>
      <c r="R35" s="8">
        <f t="shared" si="5"/>
        <v>100</v>
      </c>
      <c r="S35" s="118">
        <f t="shared" si="6"/>
        <v>0</v>
      </c>
    </row>
    <row r="36" spans="1:19" ht="15">
      <c r="A36" s="3" t="s">
        <v>90</v>
      </c>
      <c r="B36" s="109" t="s">
        <v>91</v>
      </c>
      <c r="C36" s="109" t="s">
        <v>92</v>
      </c>
      <c r="D36" s="119"/>
      <c r="E36" s="119">
        <v>7.5</v>
      </c>
      <c r="F36" s="119">
        <v>10.2</v>
      </c>
      <c r="G36" s="119">
        <f>2.5</f>
        <v>2.5</v>
      </c>
      <c r="H36" s="119"/>
      <c r="I36" s="119"/>
      <c r="J36" s="119">
        <f>2.5</f>
        <v>2.5</v>
      </c>
      <c r="K36" s="119"/>
      <c r="L36" s="119">
        <v>22.5</v>
      </c>
      <c r="M36" s="120"/>
      <c r="N36" s="276">
        <f aca="true" t="shared" si="7" ref="N36:N53">SUM(D36:M36)</f>
        <v>45.2</v>
      </c>
      <c r="O36" s="277"/>
      <c r="P36" s="278"/>
      <c r="Q36" s="8">
        <v>100</v>
      </c>
      <c r="R36" s="8">
        <f t="shared" si="5"/>
        <v>45.2</v>
      </c>
      <c r="S36" s="118">
        <f t="shared" si="6"/>
        <v>-54.8</v>
      </c>
    </row>
    <row r="37" spans="1:19" ht="15">
      <c r="A37" s="3" t="s">
        <v>226</v>
      </c>
      <c r="B37" s="109" t="s">
        <v>93</v>
      </c>
      <c r="C37" s="109" t="s">
        <v>94</v>
      </c>
      <c r="D37" s="119">
        <f>40+40</f>
        <v>80</v>
      </c>
      <c r="E37" s="119">
        <v>68</v>
      </c>
      <c r="F37" s="119">
        <f>3+25</f>
        <v>28</v>
      </c>
      <c r="G37" s="119">
        <f>8+21.5</f>
        <v>29.5</v>
      </c>
      <c r="H37" s="119">
        <f>8.1+71.4</f>
        <v>79.5</v>
      </c>
      <c r="I37" s="119">
        <v>40</v>
      </c>
      <c r="J37" s="119">
        <f>4+51</f>
        <v>55</v>
      </c>
      <c r="K37" s="119">
        <f>35.3</f>
        <v>35.3</v>
      </c>
      <c r="L37" s="119">
        <f>60</f>
        <v>60</v>
      </c>
      <c r="M37" s="119">
        <f>3+42</f>
        <v>45</v>
      </c>
      <c r="N37" s="276">
        <f t="shared" si="7"/>
        <v>520.3</v>
      </c>
      <c r="O37" s="277"/>
      <c r="P37" s="278"/>
      <c r="Q37" s="8" t="s">
        <v>95</v>
      </c>
      <c r="R37" s="118">
        <f t="shared" si="5"/>
        <v>54.19791666666666</v>
      </c>
      <c r="S37" s="118">
        <f t="shared" si="6"/>
        <v>-45.80208333333334</v>
      </c>
    </row>
    <row r="38" spans="1:19" ht="15">
      <c r="A38" s="3" t="s">
        <v>227</v>
      </c>
      <c r="B38" s="109" t="s">
        <v>87</v>
      </c>
      <c r="C38" s="109" t="s">
        <v>94</v>
      </c>
      <c r="D38" s="119">
        <v>24</v>
      </c>
      <c r="E38" s="119">
        <v>24</v>
      </c>
      <c r="F38" s="119">
        <v>24</v>
      </c>
      <c r="G38" s="119">
        <v>24</v>
      </c>
      <c r="H38" s="119">
        <v>24</v>
      </c>
      <c r="I38" s="119">
        <v>24</v>
      </c>
      <c r="J38" s="119">
        <v>24</v>
      </c>
      <c r="K38" s="119">
        <v>24</v>
      </c>
      <c r="L38" s="119">
        <v>24</v>
      </c>
      <c r="M38" s="119">
        <v>24</v>
      </c>
      <c r="N38" s="276">
        <f t="shared" si="7"/>
        <v>240</v>
      </c>
      <c r="O38" s="277"/>
      <c r="P38" s="278"/>
      <c r="Q38" s="8" t="s">
        <v>96</v>
      </c>
      <c r="R38" s="118">
        <f t="shared" si="5"/>
        <v>100</v>
      </c>
      <c r="S38" s="118">
        <f>-1*(100-R38)</f>
        <v>0</v>
      </c>
    </row>
    <row r="39" spans="1:19" ht="15">
      <c r="A39" s="3" t="s">
        <v>218</v>
      </c>
      <c r="B39" s="109" t="s">
        <v>97</v>
      </c>
      <c r="C39" s="109" t="s">
        <v>98</v>
      </c>
      <c r="D39" s="119">
        <v>30</v>
      </c>
      <c r="E39" s="119">
        <v>30</v>
      </c>
      <c r="F39" s="119">
        <v>30</v>
      </c>
      <c r="G39" s="119"/>
      <c r="H39" s="119"/>
      <c r="I39" s="119">
        <v>30</v>
      </c>
      <c r="J39" s="119"/>
      <c r="K39" s="119">
        <v>30</v>
      </c>
      <c r="L39" s="119"/>
      <c r="M39" s="119">
        <v>30</v>
      </c>
      <c r="N39" s="276">
        <f t="shared" si="7"/>
        <v>180</v>
      </c>
      <c r="O39" s="277"/>
      <c r="P39" s="278"/>
      <c r="Q39" s="8" t="s">
        <v>99</v>
      </c>
      <c r="R39" s="8">
        <f t="shared" si="5"/>
        <v>100</v>
      </c>
      <c r="S39" s="118">
        <f t="shared" si="6"/>
        <v>0</v>
      </c>
    </row>
    <row r="40" spans="1:19" ht="15">
      <c r="A40" s="3" t="s">
        <v>100</v>
      </c>
      <c r="B40" s="109" t="s">
        <v>91</v>
      </c>
      <c r="C40" s="109" t="s">
        <v>101</v>
      </c>
      <c r="D40" s="119">
        <v>71</v>
      </c>
      <c r="E40" s="119">
        <v>70</v>
      </c>
      <c r="F40" s="119"/>
      <c r="G40" s="119"/>
      <c r="H40" s="119"/>
      <c r="I40" s="119">
        <v>70</v>
      </c>
      <c r="J40" s="119">
        <v>70</v>
      </c>
      <c r="K40" s="119"/>
      <c r="L40" s="119"/>
      <c r="M40" s="119"/>
      <c r="N40" s="276">
        <f t="shared" si="7"/>
        <v>281</v>
      </c>
      <c r="O40" s="277"/>
      <c r="P40" s="278"/>
      <c r="Q40" s="8" t="s">
        <v>102</v>
      </c>
      <c r="R40" s="8">
        <f t="shared" si="5"/>
        <v>100.35714285714286</v>
      </c>
      <c r="S40" s="118">
        <f t="shared" si="6"/>
        <v>0.3571428571428612</v>
      </c>
    </row>
    <row r="41" spans="1:19" ht="15">
      <c r="A41" s="3" t="s">
        <v>103</v>
      </c>
      <c r="B41" s="109" t="s">
        <v>87</v>
      </c>
      <c r="C41" s="109" t="s">
        <v>104</v>
      </c>
      <c r="D41" s="119"/>
      <c r="E41" s="119"/>
      <c r="F41" s="119"/>
      <c r="G41" s="119">
        <v>60</v>
      </c>
      <c r="H41" s="119"/>
      <c r="I41" s="119"/>
      <c r="J41" s="119"/>
      <c r="K41" s="119"/>
      <c r="L41" s="119">
        <v>60</v>
      </c>
      <c r="M41" s="119"/>
      <c r="N41" s="276">
        <f t="shared" si="7"/>
        <v>120</v>
      </c>
      <c r="O41" s="277"/>
      <c r="P41" s="278"/>
      <c r="Q41" s="8" t="s">
        <v>94</v>
      </c>
      <c r="R41" s="8">
        <f t="shared" si="5"/>
        <v>100</v>
      </c>
      <c r="S41" s="118">
        <f t="shared" si="6"/>
        <v>0</v>
      </c>
    </row>
    <row r="42" spans="1:19" ht="15">
      <c r="A42" s="3" t="s">
        <v>105</v>
      </c>
      <c r="B42" s="109" t="s">
        <v>87</v>
      </c>
      <c r="C42" s="109" t="s">
        <v>87</v>
      </c>
      <c r="D42" s="119"/>
      <c r="E42" s="119"/>
      <c r="F42" s="119"/>
      <c r="G42" s="119"/>
      <c r="H42" s="119">
        <v>1</v>
      </c>
      <c r="I42" s="119"/>
      <c r="J42" s="119"/>
      <c r="K42" s="119"/>
      <c r="L42" s="119"/>
      <c r="M42" s="119">
        <v>1</v>
      </c>
      <c r="N42" s="276">
        <f t="shared" si="7"/>
        <v>2</v>
      </c>
      <c r="O42" s="277"/>
      <c r="P42" s="278"/>
      <c r="Q42" s="8">
        <v>2</v>
      </c>
      <c r="R42" s="8">
        <f t="shared" si="5"/>
        <v>100</v>
      </c>
      <c r="S42" s="118">
        <f t="shared" si="6"/>
        <v>0</v>
      </c>
    </row>
    <row r="43" spans="1:19" ht="15">
      <c r="A43" s="4" t="s">
        <v>106</v>
      </c>
      <c r="B43" s="110" t="s">
        <v>107</v>
      </c>
      <c r="C43" s="114" t="s">
        <v>88</v>
      </c>
      <c r="D43" s="121"/>
      <c r="E43" s="121"/>
      <c r="F43" s="121">
        <v>190</v>
      </c>
      <c r="G43" s="121"/>
      <c r="H43" s="121"/>
      <c r="I43" s="121"/>
      <c r="J43" s="121">
        <v>6.4</v>
      </c>
      <c r="K43" s="121">
        <v>190</v>
      </c>
      <c r="L43" s="121"/>
      <c r="M43" s="121"/>
      <c r="N43" s="108">
        <f t="shared" si="7"/>
        <v>386.4</v>
      </c>
      <c r="O43" s="108">
        <f>IF(C43=0,0,N43/C43)</f>
        <v>1.932</v>
      </c>
      <c r="P43" s="274">
        <f>SUM(O43:O47)</f>
        <v>6.064</v>
      </c>
      <c r="Q43" s="275">
        <v>10</v>
      </c>
      <c r="R43" s="271">
        <f>(P43*100)/Q43</f>
        <v>60.64</v>
      </c>
      <c r="S43" s="271">
        <f t="shared" si="6"/>
        <v>-39.36</v>
      </c>
    </row>
    <row r="44" spans="1:19" ht="15">
      <c r="A44" s="4" t="s">
        <v>108</v>
      </c>
      <c r="B44" s="111" t="s">
        <v>107</v>
      </c>
      <c r="C44" s="114" t="s">
        <v>92</v>
      </c>
      <c r="D44" s="121"/>
      <c r="E44" s="121">
        <v>7.5</v>
      </c>
      <c r="F44" s="217"/>
      <c r="G44" s="121">
        <v>5</v>
      </c>
      <c r="H44" s="121"/>
      <c r="I44" s="121"/>
      <c r="J44" s="121">
        <v>5</v>
      </c>
      <c r="K44" s="121">
        <v>15</v>
      </c>
      <c r="L44" s="121"/>
      <c r="M44" s="121"/>
      <c r="N44" s="108">
        <f t="shared" si="7"/>
        <v>32.5</v>
      </c>
      <c r="O44" s="108">
        <f>IF(C44=0,0,N44/C44)</f>
        <v>1.3</v>
      </c>
      <c r="P44" s="272"/>
      <c r="Q44" s="272"/>
      <c r="R44" s="272"/>
      <c r="S44" s="272"/>
    </row>
    <row r="45" spans="1:19" ht="15">
      <c r="A45" s="4" t="s">
        <v>109</v>
      </c>
      <c r="B45" s="111" t="s">
        <v>107</v>
      </c>
      <c r="C45" s="114" t="s">
        <v>110</v>
      </c>
      <c r="D45" s="121"/>
      <c r="E45" s="121"/>
      <c r="F45" s="121">
        <v>80</v>
      </c>
      <c r="G45" s="121"/>
      <c r="H45" s="121"/>
      <c r="I45" s="121"/>
      <c r="J45" s="121"/>
      <c r="K45" s="121">
        <v>24</v>
      </c>
      <c r="L45" s="121"/>
      <c r="M45" s="121"/>
      <c r="N45" s="108">
        <f t="shared" si="7"/>
        <v>104</v>
      </c>
      <c r="O45" s="108">
        <f>IF(C45=0,0,N45/C45)</f>
        <v>0.832</v>
      </c>
      <c r="P45" s="272"/>
      <c r="Q45" s="272"/>
      <c r="R45" s="272"/>
      <c r="S45" s="272"/>
    </row>
    <row r="46" spans="1:19" ht="15">
      <c r="A46" s="4" t="s">
        <v>26</v>
      </c>
      <c r="B46" s="112" t="s">
        <v>82</v>
      </c>
      <c r="C46" s="114" t="s">
        <v>111</v>
      </c>
      <c r="D46" s="121">
        <v>15</v>
      </c>
      <c r="E46" s="121"/>
      <c r="F46" s="121"/>
      <c r="G46" s="121"/>
      <c r="H46" s="121"/>
      <c r="I46" s="121">
        <v>15</v>
      </c>
      <c r="J46" s="121"/>
      <c r="K46" s="121"/>
      <c r="L46" s="121"/>
      <c r="M46" s="121"/>
      <c r="N46" s="108">
        <f t="shared" si="7"/>
        <v>30</v>
      </c>
      <c r="O46" s="121">
        <f>IF(C46=0,0,N46/C46)</f>
        <v>2</v>
      </c>
      <c r="P46" s="272"/>
      <c r="Q46" s="272"/>
      <c r="R46" s="272"/>
      <c r="S46" s="272"/>
    </row>
    <row r="47" spans="1:19" ht="15">
      <c r="A47" s="5" t="s">
        <v>112</v>
      </c>
      <c r="B47" s="113" t="s">
        <v>107</v>
      </c>
      <c r="C47" s="115">
        <v>125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08">
        <f t="shared" si="7"/>
        <v>0</v>
      </c>
      <c r="O47" s="108">
        <f>IF(C47=0,0,N47/C47)</f>
        <v>0</v>
      </c>
      <c r="P47" s="273"/>
      <c r="Q47" s="273"/>
      <c r="R47" s="273"/>
      <c r="S47" s="273"/>
    </row>
    <row r="48" spans="1:19" ht="15">
      <c r="A48" s="3" t="s">
        <v>113</v>
      </c>
      <c r="B48" s="109" t="s">
        <v>82</v>
      </c>
      <c r="C48" s="109" t="s">
        <v>97</v>
      </c>
      <c r="D48" s="119"/>
      <c r="E48" s="119">
        <v>3</v>
      </c>
      <c r="F48" s="119">
        <v>3</v>
      </c>
      <c r="G48" s="119">
        <f>3.5</f>
        <v>3.5</v>
      </c>
      <c r="H48" s="119">
        <f>2+3.8</f>
        <v>5.8</v>
      </c>
      <c r="I48" s="119">
        <v>1.8</v>
      </c>
      <c r="J48" s="119">
        <v>3</v>
      </c>
      <c r="K48" s="119">
        <f>3</f>
        <v>3</v>
      </c>
      <c r="L48" s="122"/>
      <c r="M48" s="119">
        <v>2</v>
      </c>
      <c r="N48" s="276">
        <f t="shared" si="7"/>
        <v>25.1</v>
      </c>
      <c r="O48" s="277"/>
      <c r="P48" s="278"/>
      <c r="Q48" s="8" t="s">
        <v>98</v>
      </c>
      <c r="R48" s="118">
        <f aca="true" t="shared" si="8" ref="R48:R53">(N48*100)/Q48</f>
        <v>83.66666666666667</v>
      </c>
      <c r="S48" s="118">
        <f aca="true" t="shared" si="9" ref="S48:S53">-1*(100-R48)</f>
        <v>-16.33333333333333</v>
      </c>
    </row>
    <row r="49" spans="1:19" ht="15">
      <c r="A49" s="3" t="s">
        <v>114</v>
      </c>
      <c r="B49" s="109">
        <v>5</v>
      </c>
      <c r="C49" s="109" t="s">
        <v>115</v>
      </c>
      <c r="D49" s="119">
        <f>4+5+2.5</f>
        <v>11.5</v>
      </c>
      <c r="E49" s="119">
        <f>2.5+3</f>
        <v>5.5</v>
      </c>
      <c r="F49" s="119">
        <v>5</v>
      </c>
      <c r="G49" s="119">
        <f>2+1.4</f>
        <v>3.4</v>
      </c>
      <c r="H49" s="119">
        <v>2</v>
      </c>
      <c r="I49" s="119">
        <f>1.6+2+1.6</f>
        <v>5.2</v>
      </c>
      <c r="J49" s="119">
        <f>2+1.2</f>
        <v>3.2</v>
      </c>
      <c r="K49" s="119">
        <v>4</v>
      </c>
      <c r="L49" s="119">
        <f>3+3.9</f>
        <v>6.9</v>
      </c>
      <c r="M49" s="119">
        <v>8</v>
      </c>
      <c r="N49" s="276">
        <f t="shared" si="7"/>
        <v>54.7</v>
      </c>
      <c r="O49" s="277"/>
      <c r="P49" s="278"/>
      <c r="Q49" s="8" t="s">
        <v>116</v>
      </c>
      <c r="R49" s="118">
        <f t="shared" si="8"/>
        <v>99.45454545454545</v>
      </c>
      <c r="S49" s="118">
        <f t="shared" si="9"/>
        <v>-0.5454545454545467</v>
      </c>
    </row>
    <row r="50" spans="1:19" ht="15">
      <c r="A50" s="3" t="s">
        <v>117</v>
      </c>
      <c r="B50" s="109" t="s">
        <v>82</v>
      </c>
      <c r="C50" s="109" t="s">
        <v>87</v>
      </c>
      <c r="D50" s="119">
        <f>0.6+0.3</f>
        <v>0.8999999999999999</v>
      </c>
      <c r="E50" s="119">
        <f>0.3+0.4+0.5+0.05</f>
        <v>1.25</v>
      </c>
      <c r="F50" s="119">
        <v>0.3</v>
      </c>
      <c r="G50" s="119">
        <f>0.3+0.5+0.2</f>
        <v>1</v>
      </c>
      <c r="H50" s="119">
        <f>0.4+0.4+0.1</f>
        <v>0.9</v>
      </c>
      <c r="I50" s="119">
        <f>0.4+0.3+0.2</f>
        <v>0.8999999999999999</v>
      </c>
      <c r="J50" s="119">
        <f>0.2+0.6+0.2</f>
        <v>1</v>
      </c>
      <c r="K50" s="119">
        <f>0.6</f>
        <v>0.6</v>
      </c>
      <c r="L50" s="119">
        <f>0.4+0.3+0.2+0.2</f>
        <v>1.0999999999999999</v>
      </c>
      <c r="M50" s="119">
        <f>0.3+0.3</f>
        <v>0.6</v>
      </c>
      <c r="N50" s="276">
        <f t="shared" si="7"/>
        <v>8.549999999999999</v>
      </c>
      <c r="O50" s="277"/>
      <c r="P50" s="278"/>
      <c r="Q50" s="8" t="s">
        <v>118</v>
      </c>
      <c r="R50" s="8">
        <f t="shared" si="8"/>
        <v>85.49999999999999</v>
      </c>
      <c r="S50" s="118">
        <f t="shared" si="9"/>
        <v>-14.500000000000014</v>
      </c>
    </row>
    <row r="51" spans="1:19" ht="15">
      <c r="A51" s="3" t="s">
        <v>119</v>
      </c>
      <c r="B51" s="109" t="s">
        <v>82</v>
      </c>
      <c r="C51" s="109" t="s">
        <v>120</v>
      </c>
      <c r="D51" s="119">
        <v>2.5</v>
      </c>
      <c r="E51" s="120"/>
      <c r="F51" s="119">
        <f>5+7.5</f>
        <v>12.5</v>
      </c>
      <c r="G51" s="119">
        <f>0.7</f>
        <v>0.7</v>
      </c>
      <c r="H51" s="119"/>
      <c r="I51" s="119">
        <f>1.4+7.5</f>
        <v>8.9</v>
      </c>
      <c r="J51" s="119">
        <f>0.7+7.5</f>
        <v>8.2</v>
      </c>
      <c r="K51" s="119">
        <f>7.5+1.3</f>
        <v>8.8</v>
      </c>
      <c r="L51" s="119">
        <f>1+7.5</f>
        <v>8.5</v>
      </c>
      <c r="M51" s="120"/>
      <c r="N51" s="276">
        <f t="shared" si="7"/>
        <v>50.099999999999994</v>
      </c>
      <c r="O51" s="277"/>
      <c r="P51" s="278"/>
      <c r="Q51" s="8" t="s">
        <v>121</v>
      </c>
      <c r="R51" s="118">
        <f t="shared" si="8"/>
        <v>66.79999999999998</v>
      </c>
      <c r="S51" s="118">
        <f t="shared" si="9"/>
        <v>-33.20000000000002</v>
      </c>
    </row>
    <row r="52" spans="1:19" ht="15">
      <c r="A52" s="3" t="s">
        <v>122</v>
      </c>
      <c r="B52" s="109" t="s">
        <v>87</v>
      </c>
      <c r="C52" s="109" t="s">
        <v>123</v>
      </c>
      <c r="D52" s="119"/>
      <c r="E52" s="119"/>
      <c r="F52" s="119">
        <v>6</v>
      </c>
      <c r="G52" s="119"/>
      <c r="H52" s="119"/>
      <c r="I52" s="119"/>
      <c r="J52" s="119"/>
      <c r="K52" s="119">
        <v>6</v>
      </c>
      <c r="L52" s="119"/>
      <c r="M52" s="119"/>
      <c r="N52" s="276">
        <f t="shared" si="7"/>
        <v>12</v>
      </c>
      <c r="O52" s="277"/>
      <c r="P52" s="278"/>
      <c r="Q52" s="8" t="s">
        <v>124</v>
      </c>
      <c r="R52" s="8">
        <f t="shared" si="8"/>
        <v>100</v>
      </c>
      <c r="S52" s="118">
        <f t="shared" si="9"/>
        <v>0</v>
      </c>
    </row>
    <row r="53" spans="1:19" ht="15">
      <c r="A53" s="3" t="s">
        <v>125</v>
      </c>
      <c r="B53" s="109" t="s">
        <v>87</v>
      </c>
      <c r="C53" s="109" t="s">
        <v>126</v>
      </c>
      <c r="D53" s="119">
        <v>0.5</v>
      </c>
      <c r="E53" s="119"/>
      <c r="F53" s="119"/>
      <c r="G53" s="119"/>
      <c r="H53" s="119"/>
      <c r="I53" s="119">
        <v>0.5</v>
      </c>
      <c r="J53" s="119"/>
      <c r="K53" s="119"/>
      <c r="L53" s="119"/>
      <c r="M53" s="119"/>
      <c r="N53" s="276">
        <f t="shared" si="7"/>
        <v>1</v>
      </c>
      <c r="O53" s="277"/>
      <c r="P53" s="278"/>
      <c r="Q53" s="8" t="s">
        <v>87</v>
      </c>
      <c r="R53" s="8">
        <f t="shared" si="8"/>
        <v>100</v>
      </c>
      <c r="S53" s="118">
        <f t="shared" si="9"/>
        <v>0</v>
      </c>
    </row>
    <row r="54" spans="1:12" ht="15">
      <c r="A54" s="7"/>
      <c r="D54" s="6"/>
      <c r="L54" s="6"/>
    </row>
  </sheetData>
  <sheetProtection/>
  <mergeCells count="44">
    <mergeCell ref="A5:S5"/>
    <mergeCell ref="N6:P6"/>
    <mergeCell ref="N7:P7"/>
    <mergeCell ref="N8:P8"/>
    <mergeCell ref="N9:P9"/>
    <mergeCell ref="N10:P10"/>
    <mergeCell ref="N11:P11"/>
    <mergeCell ref="N12:P12"/>
    <mergeCell ref="N13:P13"/>
    <mergeCell ref="N14:P14"/>
    <mergeCell ref="N15:P15"/>
    <mergeCell ref="N16:P16"/>
    <mergeCell ref="N22:P22"/>
    <mergeCell ref="N23:P23"/>
    <mergeCell ref="N24:P24"/>
    <mergeCell ref="N25:P25"/>
    <mergeCell ref="N26:P26"/>
    <mergeCell ref="N27:P27"/>
    <mergeCell ref="N39:P39"/>
    <mergeCell ref="N40:P40"/>
    <mergeCell ref="N41:P41"/>
    <mergeCell ref="N42:P42"/>
    <mergeCell ref="A31:S31"/>
    <mergeCell ref="N32:P32"/>
    <mergeCell ref="N33:P33"/>
    <mergeCell ref="N34:P34"/>
    <mergeCell ref="N35:P35"/>
    <mergeCell ref="N36:P36"/>
    <mergeCell ref="N48:P48"/>
    <mergeCell ref="N49:P49"/>
    <mergeCell ref="N50:P50"/>
    <mergeCell ref="N51:P51"/>
    <mergeCell ref="N52:P52"/>
    <mergeCell ref="N53:P53"/>
    <mergeCell ref="S17:S21"/>
    <mergeCell ref="S43:S47"/>
    <mergeCell ref="P17:P21"/>
    <mergeCell ref="P43:P47"/>
    <mergeCell ref="Q17:Q21"/>
    <mergeCell ref="Q43:Q47"/>
    <mergeCell ref="R17:R21"/>
    <mergeCell ref="R43:R47"/>
    <mergeCell ref="N37:P37"/>
    <mergeCell ref="N38:P38"/>
  </mergeCells>
  <printOptions/>
  <pageMargins left="0.7086614173228347" right="0.7086614173228347" top="0.7480314960629921" bottom="0.7480314960629921" header="0.31496062992125984" footer="0.31496062992125984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Користувач</cp:lastModifiedBy>
  <cp:lastPrinted>2023-08-29T13:35:59Z</cp:lastPrinted>
  <dcterms:created xsi:type="dcterms:W3CDTF">2023-04-05T11:58:00Z</dcterms:created>
  <dcterms:modified xsi:type="dcterms:W3CDTF">2024-02-01T16:21:41Z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00E2A9784197493DB60D93AC3E806783</vt:lpwstr>
  </property>
  <property fmtid="{D5CDD505-2E9C-101B-9397-08002B2CF9AE}" pid="3" name="KSOProductBuildVer">
    <vt:lpwstr>1033-11.2.0.11513</vt:lpwstr>
  </property>
</Properties>
</file>